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A39" i="2" l="1"/>
  <c r="A32" i="2"/>
  <c r="A27" i="2"/>
  <c r="A22" i="2"/>
  <c r="A17" i="2"/>
  <c r="A12" i="2"/>
  <c r="N17" i="2"/>
  <c r="AG19" i="2"/>
  <c r="AE19" i="2"/>
  <c r="AI19" i="2"/>
  <c r="AK20" i="2"/>
  <c r="AG20" i="2"/>
  <c r="AE20" i="2"/>
  <c r="AI20" i="2"/>
  <c r="AK19" i="2"/>
  <c r="AU19" i="2"/>
  <c r="L22" i="2"/>
  <c r="P22" i="2"/>
  <c r="N22" i="2"/>
  <c r="N19" i="2"/>
  <c r="AG24" i="2"/>
  <c r="AE24" i="2"/>
  <c r="AI24" i="2"/>
  <c r="AK25" i="2"/>
  <c r="AG25" i="2"/>
  <c r="AE25" i="2"/>
  <c r="AI25" i="2"/>
  <c r="AK24" i="2"/>
  <c r="AU24" i="2"/>
  <c r="L27" i="2"/>
  <c r="P27" i="2"/>
  <c r="N27" i="2"/>
  <c r="N24" i="2"/>
  <c r="P32" i="2"/>
  <c r="N32" i="2"/>
  <c r="N29" i="2"/>
  <c r="P39" i="2"/>
  <c r="N39" i="2"/>
  <c r="N36" i="2"/>
  <c r="N14" i="2"/>
  <c r="AE9" i="2"/>
  <c r="AG9" i="2"/>
  <c r="AI9" i="2"/>
  <c r="AK10" i="2"/>
  <c r="AE10" i="2"/>
  <c r="AG10" i="2"/>
  <c r="AI10" i="2"/>
  <c r="AK9" i="2"/>
  <c r="AU9" i="2"/>
  <c r="L12" i="2"/>
  <c r="P12" i="2"/>
  <c r="AB42" i="2"/>
  <c r="AA42" i="2"/>
  <c r="Z42" i="2"/>
  <c r="S42" i="2"/>
  <c r="Q42" i="2"/>
  <c r="O42" i="2"/>
  <c r="M42" i="2"/>
  <c r="K42" i="2"/>
  <c r="P2" i="2"/>
  <c r="P7" i="2"/>
  <c r="N9" i="2"/>
  <c r="AG14" i="2"/>
  <c r="AE14" i="2"/>
  <c r="AI14" i="2"/>
  <c r="AK15" i="2"/>
  <c r="AG15" i="2"/>
  <c r="AE15" i="2"/>
  <c r="AI15" i="2"/>
  <c r="AK14" i="2"/>
  <c r="AU14" i="2"/>
  <c r="L17" i="2"/>
  <c r="P17" i="2"/>
  <c r="N12" i="2"/>
  <c r="AG36" i="2"/>
  <c r="AQ36" i="2"/>
  <c r="AE36" i="2"/>
  <c r="AG37" i="2"/>
  <c r="AQ37" i="2"/>
  <c r="AE37" i="2"/>
  <c r="AO37" i="2"/>
  <c r="AG29" i="2"/>
  <c r="AE29" i="2"/>
  <c r="AG30" i="2"/>
  <c r="AQ30" i="2"/>
  <c r="AE30" i="2"/>
  <c r="AO15" i="2"/>
  <c r="AO10" i="2"/>
  <c r="AO25" i="2"/>
  <c r="AQ14" i="2"/>
  <c r="AQ15" i="2"/>
  <c r="AQ9" i="2"/>
  <c r="AQ10" i="2"/>
  <c r="AB1" i="2"/>
  <c r="M3" i="2"/>
  <c r="N3" i="2"/>
  <c r="AA1" i="2"/>
  <c r="K3" i="2"/>
  <c r="L1" i="2"/>
  <c r="L3" i="2"/>
  <c r="Z1" i="2"/>
  <c r="I3" i="2"/>
  <c r="J3" i="2"/>
  <c r="O1" i="2"/>
  <c r="N1" i="2"/>
  <c r="J1" i="2"/>
  <c r="B1" i="2"/>
  <c r="K39" i="2"/>
  <c r="K17" i="2"/>
  <c r="K12" i="2"/>
  <c r="AI29" i="2"/>
  <c r="AK30" i="2"/>
  <c r="AI30" i="2"/>
  <c r="AK29" i="2"/>
  <c r="AM29" i="2"/>
  <c r="AI37" i="2"/>
  <c r="AK36" i="2"/>
  <c r="AM36" i="2"/>
  <c r="AS38" i="2"/>
  <c r="AI36" i="2"/>
  <c r="AK37" i="2"/>
  <c r="AO36" i="2"/>
  <c r="AS36" i="2"/>
  <c r="AS37" i="2"/>
  <c r="AQ29" i="2"/>
  <c r="AS31" i="2"/>
  <c r="AO30" i="2"/>
  <c r="AO29" i="2"/>
  <c r="AM30" i="2"/>
  <c r="AO24" i="2"/>
  <c r="AO20" i="2"/>
  <c r="AO19" i="2"/>
  <c r="AM15" i="2"/>
  <c r="AO14" i="2"/>
  <c r="AS14" i="2"/>
  <c r="AS15" i="2"/>
  <c r="AS16" i="2"/>
  <c r="AM14" i="2"/>
  <c r="AS11" i="2"/>
  <c r="AM9" i="2"/>
  <c r="AM10" i="2"/>
  <c r="AO9" i="2"/>
  <c r="AS9" i="2"/>
  <c r="AS10" i="2"/>
  <c r="P34" i="2"/>
  <c r="AS29" i="2"/>
  <c r="AS30" i="2"/>
  <c r="AU29" i="2"/>
  <c r="L32" i="2"/>
  <c r="AU36" i="2"/>
  <c r="L39" i="2"/>
  <c r="AM37" i="2"/>
  <c r="AQ25" i="2"/>
  <c r="AM25" i="2"/>
  <c r="AS26" i="2"/>
  <c r="AQ24" i="2"/>
  <c r="AM24" i="2"/>
  <c r="AQ20" i="2"/>
  <c r="AM20" i="2"/>
  <c r="AM19" i="2"/>
  <c r="AS21" i="2"/>
  <c r="AQ19" i="2"/>
  <c r="AS19" i="2"/>
  <c r="AS20" i="2"/>
  <c r="AS24" i="2"/>
  <c r="AS25" i="2"/>
</calcChain>
</file>

<file path=xl/sharedStrings.xml><?xml version="1.0" encoding="utf-8"?>
<sst xmlns="http://schemas.openxmlformats.org/spreadsheetml/2006/main" count="1165" uniqueCount="319">
  <si>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</si>
  <si>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</si>
  <si>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</si>
  <si>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</si>
  <si>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</si>
  <si>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</si>
  <si>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</si>
  <si>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</si>
  <si>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</si>
  <si>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</si>
  <si>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</si>
  <si>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</si>
  <si>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</si>
  <si>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</si>
  <si>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</si>
  <si>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</si>
  <si>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</si>
  <si>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</si>
  <si>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</si>
  <si>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</si>
  <si>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</si>
  <si>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</si>
  <si>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</si>
  <si>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</si>
  <si>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</si>
  <si>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</si>
  <si>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</si>
  <si>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</si>
  <si>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</si>
  <si>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</si>
  <si>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</si>
  <si>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</si>
  <si>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</si>
  <si>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</si>
  <si>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</si>
  <si>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</si>
  <si>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</si>
  <si>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</si>
  <si>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</si>
  <si>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</si>
  <si>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</si>
  <si>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</si>
  <si>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</si>
  <si>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</si>
  <si>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</si>
  <si>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</si>
  <si>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</si>
  <si>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</si>
  <si>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</si>
  <si>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</si>
  <si>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</si>
  <si>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</si>
  <si>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</si>
  <si>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</si>
  <si>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</si>
  <si>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</si>
  <si>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</si>
  <si>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</si>
  <si>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</si>
  <si>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</si>
  <si>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</si>
  <si>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</si>
  <si>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</si>
  <si>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</si>
  <si>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</si>
  <si>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</si>
  <si>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</si>
  <si>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</si>
  <si>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</si>
  <si>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</si>
  <si>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</si>
  <si>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</si>
  <si>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</si>
  <si>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</si>
  <si>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</si>
  <si>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</si>
  <si>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</si>
  <si>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</si>
  <si>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</si>
  <si>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</si>
  <si>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</si>
  <si>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</si>
  <si>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</si>
  <si>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</si>
  <si>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</si>
  <si>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</si>
  <si>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</si>
  <si>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</si>
  <si>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</si>
  <si>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</si>
  <si>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</si>
  <si>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</si>
  <si>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</si>
  <si>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</si>
  <si>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</si>
  <si>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</si>
  <si>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</si>
  <si>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</si>
  <si>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</si>
  <si>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</si>
  <si>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</si>
  <si>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</si>
  <si>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</si>
  <si>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</si>
  <si>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</si>
  <si>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</si>
  <si>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</si>
  <si>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</si>
  <si>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</si>
  <si>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</si>
  <si>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</si>
  <si>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</si>
  <si>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</si>
  <si>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</si>
  <si>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</si>
  <si>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</si>
  <si>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</si>
  <si>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</si>
  <si>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</si>
  <si>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</si>
  <si>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</si>
  <si>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</si>
  <si>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</si>
  <si>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</si>
  <si>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</si>
  <si>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</si>
  <si>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</si>
  <si>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</si>
  <si>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</si>
  <si>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</si>
  <si>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</si>
  <si>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</si>
  <si>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</si>
  <si>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</si>
  <si>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</si>
  <si>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</si>
  <si>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</si>
  <si>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</si>
  <si>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</si>
  <si>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</si>
  <si>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</si>
  <si>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</si>
  <si>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</si>
  <si>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</si>
  <si>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</si>
  <si>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</si>
  <si>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</si>
  <si>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</si>
  <si>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</si>
  <si>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</si>
  <si>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</si>
  <si>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</si>
  <si>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</si>
  <si>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</si>
  <si>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</si>
  <si>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</si>
  <si>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</si>
  <si>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</si>
  <si>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</si>
  <si>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</si>
  <si>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</si>
  <si>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</si>
  <si>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</si>
  <si>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</si>
  <si>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</si>
  <si>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</si>
  <si>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</si>
  <si>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</si>
  <si>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</si>
  <si>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</si>
  <si>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</si>
  <si>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</si>
  <si>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</si>
  <si>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</si>
  <si>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</si>
  <si>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</si>
  <si>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</si>
  <si>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</si>
  <si>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</si>
  <si>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</si>
  <si>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</si>
  <si>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</si>
  <si>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</si>
  <si>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</si>
  <si>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</si>
  <si>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</si>
  <si>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</si>
  <si>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</si>
  <si>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</si>
  <si>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</si>
  <si>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</si>
  <si>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</si>
  <si>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</si>
  <si>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</si>
  <si>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</si>
  <si>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</si>
  <si>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</si>
  <si>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</si>
  <si>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</si>
  <si>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</si>
  <si>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</si>
  <si>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</si>
  <si>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</si>
  <si>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</si>
  <si>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</si>
  <si>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</si>
  <si>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</si>
  <si>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</si>
  <si>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</si>
  <si>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</si>
  <si>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</si>
  <si>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</si>
  <si>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</si>
  <si>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</si>
  <si>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</si>
  <si>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</si>
  <si>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</si>
  <si>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</si>
  <si>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</si>
  <si>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</si>
  <si>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</si>
  <si>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</si>
  <si>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</si>
  <si>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</si>
  <si>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</si>
  <si>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</si>
  <si>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</si>
  <si>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</si>
  <si>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</si>
  <si>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</si>
  <si>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</si>
  <si>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</si>
  <si>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</si>
  <si>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</si>
  <si>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</si>
  <si>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</si>
  <si>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</si>
  <si>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</si>
  <si>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</si>
  <si>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</si>
  <si>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</si>
  <si>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</si>
  <si>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</si>
  <si>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</si>
  <si>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</si>
  <si>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</si>
  <si>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</si>
  <si>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</si>
  <si>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</si>
  <si>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</si>
  <si>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</si>
  <si>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</si>
  <si>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</si>
  <si>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</si>
  <si>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</si>
  <si>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</si>
  <si>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</si>
  <si>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</si>
  <si>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</si>
  <si>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</si>
  <si>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</si>
  <si>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</si>
  <si>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</si>
  <si>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</si>
  <si>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</si>
  <si>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</si>
  <si>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</si>
  <si>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</si>
  <si>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</si>
  <si>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</si>
  <si>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</si>
  <si>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</si>
  <si>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</si>
  <si>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</si>
  <si>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</si>
  <si>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</si>
  <si>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</si>
  <si>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</si>
  <si>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</si>
  <si>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</si>
  <si>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</si>
  <si>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</si>
  <si>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</si>
  <si>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</si>
  <si>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</si>
  <si>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</si>
  <si>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</si>
  <si>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</si>
  <si>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</si>
  <si>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</si>
  <si>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</si>
  <si>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</si>
  <si>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</si>
  <si>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</si>
  <si>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</si>
  <si>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</si>
  <si>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D07 - C5 - Coasters Harbor Run</t>
  </si>
  <si>
    <t>Coasters Harbor Navy No Wake Buoy</t>
  </si>
  <si>
    <t>Annual</t>
  </si>
  <si>
    <t>White w OA Bands</t>
  </si>
  <si>
    <t>Coasters Harbor Light</t>
  </si>
  <si>
    <t>Walter Szynal   401-841-3283</t>
  </si>
  <si>
    <t>Fl G 4s</t>
  </si>
  <si>
    <t>Coasters Harbor Navy Channel Buoy 1</t>
  </si>
  <si>
    <t>Green</t>
  </si>
  <si>
    <t>Coasters Harbor Navy Channel Buoy 2</t>
  </si>
  <si>
    <t>Coasters Harbor Navy Channel Buoy 4</t>
  </si>
  <si>
    <r>
      <rPr>
        <b/>
        <sz val="9"/>
        <rFont val="Calibri"/>
        <family val="2"/>
        <scheme val="minor"/>
      </rPr>
      <t xml:space="preserve">2017 </t>
    </r>
    <r>
      <rPr>
        <b/>
        <sz val="9"/>
        <color rgb="FFFF0000"/>
        <rFont val="Calibri"/>
        <family val="2"/>
        <scheme val="minor"/>
      </rPr>
      <t>- UNAUTHORIZED - NEED A PATON APPLICATION TO BE SUBMITTED.</t>
    </r>
  </si>
  <si>
    <t>PATON PLAN F1</t>
  </si>
  <si>
    <t>Not Provided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</si>
  <si>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</si>
  <si>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 xml:space="preserve">175.4 FT OFF STA - NO NUMBERS OR RETRO -  LNM 31/14. "MSLD SIG."                         </t>
    </r>
    <r>
      <rPr>
        <b/>
        <sz val="9"/>
        <rFont val="Calibri"/>
        <family val="2"/>
        <scheme val="minor"/>
      </rPr>
      <t xml:space="preserve">2018 RECHECK </t>
    </r>
    <r>
      <rPr>
        <b/>
        <sz val="9"/>
        <color rgb="FFFF0000"/>
        <rFont val="Calibri"/>
        <family val="2"/>
        <scheme val="minor"/>
      </rPr>
      <t>- NOW 191.9 FT OF STA.</t>
    </r>
  </si>
  <si>
    <r>
      <t>2017 REPORT,</t>
    </r>
    <r>
      <rPr>
        <b/>
        <sz val="9"/>
        <color rgb="FFFF0000"/>
        <rFont val="Calibri"/>
        <family val="2"/>
        <scheme val="minor"/>
      </rPr>
      <t xml:space="preserve"> 288.3 FT OFF STA - NO NUMBERS OR RETRO  - LNM 31/14. "OFF STA - MSLD SIG."        </t>
    </r>
    <r>
      <rPr>
        <b/>
        <sz val="9"/>
        <rFont val="Calibri"/>
        <family val="2"/>
        <scheme val="minor"/>
      </rPr>
      <t xml:space="preserve">2018 RECHECK </t>
    </r>
    <r>
      <rPr>
        <b/>
        <sz val="9"/>
        <color rgb="FFFF0000"/>
        <rFont val="Calibri"/>
        <family val="2"/>
        <scheme val="minor"/>
      </rPr>
      <t>- NOW 255.6 FT OFF STA.</t>
    </r>
  </si>
  <si>
    <r>
      <t>2017 REPORT,</t>
    </r>
    <r>
      <rPr>
        <b/>
        <sz val="9"/>
        <color rgb="FFFF0000"/>
        <rFont val="Calibri"/>
        <family val="2"/>
        <scheme val="minor"/>
      </rPr>
      <t xml:space="preserve"> MISSING - NO NUMBERS OR RETRO - LNM 31/14. "MSLD SIG."                         </t>
    </r>
    <r>
      <rPr>
        <b/>
        <sz val="9"/>
        <rFont val="Calibri"/>
        <family val="2"/>
        <scheme val="minor"/>
      </rPr>
      <t>2018 RECHECK</t>
    </r>
    <r>
      <rPr>
        <b/>
        <sz val="9"/>
        <color rgb="FFFF0000"/>
        <rFont val="Calibri"/>
        <family val="2"/>
        <scheme val="minor"/>
      </rPr>
      <t xml:space="preserve"> - STILL MISSING.</t>
    </r>
  </si>
  <si>
    <t>2015 REPORT, 436.0 FT OFF - WP at 41-30-06.630 / 0771-19-30.860</t>
  </si>
  <si>
    <r>
      <t xml:space="preserve">Submit PATON Application   </t>
    </r>
    <r>
      <rPr>
        <sz val="10"/>
        <rFont val="Arial Narrow"/>
        <family val="2"/>
      </rPr>
      <t xml:space="preserve">     </t>
    </r>
  </si>
  <si>
    <t>VERIFY      and    REPORT</t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</si>
  <si>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and          </t>
    </r>
    <r>
      <rPr>
        <b/>
        <sz val="12"/>
        <rFont val="Arial Narrow"/>
        <family val="2"/>
      </rPr>
      <t>ADVISE</t>
    </r>
  </si>
  <si>
    <t>FIELD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</si>
</sst>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00CC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3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6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3" fillId="6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2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5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69" fillId="3" borderId="87" xfId="0" applyNumberFormat="1" applyFont="1" applyFill="1" applyBorder="1" applyAlignment="1">
      <alignment horizontal="center" vertical="center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6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2" fillId="16" borderId="60" xfId="0" applyNumberFormat="1" applyFont="1" applyFill="1" applyBorder="1" applyAlignment="1" applyProtection="1">
      <alignment horizontal="left" vertical="center"/>
    </xf>
    <xf numFmtId="164" fontId="72" fillId="16" borderId="59" xfId="0" applyNumberFormat="1" applyFont="1" applyFill="1" applyBorder="1" applyAlignment="1" applyProtection="1">
      <alignment horizontal="center" vertical="center" wrapText="1"/>
    </xf>
    <xf numFmtId="164" fontId="72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1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1" fontId="76" fillId="3" borderId="11" xfId="0" applyNumberFormat="1" applyFont="1" applyFill="1" applyBorder="1" applyAlignment="1" applyProtection="1">
      <alignment horizontal="center" vertical="center" wrapText="1"/>
    </xf>
    <xf numFmtId="1" fontId="71" fillId="15" borderId="13" xfId="0" applyNumberFormat="1" applyFont="1" applyFill="1" applyBorder="1" applyAlignment="1" applyProtection="1">
      <alignment horizontal="center" vertical="center"/>
    </xf>
    <xf numFmtId="164" fontId="77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0" fontId="78" fillId="3" borderId="100" xfId="0" applyFont="1" applyFill="1" applyBorder="1" applyAlignment="1">
      <alignment horizontal="center" vertical="center" wrapText="1"/>
    </xf>
    <xf numFmtId="171" fontId="78" fillId="3" borderId="102" xfId="0" applyNumberFormat="1" applyFont="1" applyFill="1" applyBorder="1" applyAlignment="1">
      <alignment horizontal="center" vertical="center"/>
    </xf>
    <xf numFmtId="172" fontId="79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78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78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2" xfId="0" applyFont="1" applyBorder="1" applyAlignment="1">
      <alignment horizontal="center" vertical="center"/>
    </xf>
    <xf numFmtId="0" fontId="1" fillId="17" borderId="110" xfId="0" applyFont="1" applyFill="1" applyBorder="1" applyAlignment="1">
      <alignment horizontal="center" vertical="center"/>
    </xf>
    <xf numFmtId="0" fontId="1" fillId="9" borderId="110" xfId="0" applyFont="1" applyFill="1" applyBorder="1" applyAlignment="1">
      <alignment horizontal="center" vertical="center"/>
    </xf>
    <xf numFmtId="0" fontId="59" fillId="18" borderId="110" xfId="0" applyFont="1" applyFill="1" applyBorder="1" applyAlignment="1">
      <alignment horizontal="center" vertical="center"/>
    </xf>
    <xf numFmtId="171" fontId="32" fillId="0" borderId="110" xfId="0" applyNumberFormat="1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2" xfId="0" applyNumberFormat="1" applyFont="1" applyBorder="1" applyAlignment="1">
      <alignment vertical="center"/>
    </xf>
    <xf numFmtId="173" fontId="10" fillId="19" borderId="112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3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3" fillId="6" borderId="0" xfId="0" applyNumberFormat="1" applyFont="1" applyFill="1" applyAlignment="1">
      <alignment vertical="center"/>
    </xf>
    <xf numFmtId="173" fontId="63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3" xfId="0" applyNumberFormat="1" applyFont="1" applyFill="1" applyBorder="1" applyAlignment="1">
      <alignment vertical="center"/>
    </xf>
    <xf numFmtId="164" fontId="73" fillId="3" borderId="115" xfId="0" applyNumberFormat="1" applyFont="1" applyFill="1" applyBorder="1" applyAlignment="1">
      <alignment horizontal="left" vertical="top"/>
    </xf>
    <xf numFmtId="164" fontId="80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171" fontId="81" fillId="4" borderId="6" xfId="0" applyNumberFormat="1" applyFont="1" applyFill="1" applyBorder="1" applyAlignment="1">
      <alignment horizontal="center" vertical="center"/>
    </xf>
    <xf numFmtId="0" fontId="65" fillId="20" borderId="4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2" fillId="16" borderId="60" xfId="0" applyNumberFormat="1" applyFont="1" applyFill="1" applyBorder="1" applyAlignment="1" applyProtection="1">
      <alignment horizontal="center" vertical="center"/>
    </xf>
    <xf numFmtId="0" fontId="48" fillId="0" borderId="127" xfId="0" applyFont="1" applyBorder="1" applyAlignment="1" applyProtection="1">
      <alignment horizontal="center" vertical="center"/>
      <protection locked="0"/>
    </xf>
    <xf numFmtId="0" fontId="49" fillId="3" borderId="122" xfId="0" applyFont="1" applyFill="1" applyBorder="1" applyAlignment="1">
      <alignment horizontal="center" vertical="center" wrapText="1"/>
    </xf>
    <xf numFmtId="0" fontId="50" fillId="3" borderId="120" xfId="0" applyFont="1" applyFill="1" applyBorder="1" applyAlignment="1"/>
    <xf numFmtId="0" fontId="71" fillId="20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6" fillId="3" borderId="8" xfId="0" applyFont="1" applyFill="1" applyBorder="1" applyAlignment="1">
      <alignment horizontal="center"/>
    </xf>
    <xf numFmtId="14" fontId="59" fillId="10" borderId="110" xfId="0" applyNumberFormat="1" applyFont="1" applyFill="1" applyBorder="1" applyAlignment="1">
      <alignment horizontal="center" vertical="center"/>
    </xf>
    <xf numFmtId="14" fontId="90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4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2" fontId="97" fillId="23" borderId="13" xfId="0" applyNumberFormat="1" applyFont="1" applyFill="1" applyBorder="1" applyAlignment="1" applyProtection="1">
      <alignment horizontal="center" vertical="center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4" fillId="16" borderId="31" xfId="0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 wrapText="1"/>
    </xf>
    <xf numFmtId="168" fontId="68" fillId="16" borderId="31" xfId="0" applyNumberFormat="1" applyFont="1" applyFill="1" applyBorder="1" applyAlignment="1">
      <alignment horizontal="left" vertical="top"/>
    </xf>
    <xf numFmtId="168" fontId="64" fillId="16" borderId="31" xfId="0" applyNumberFormat="1" applyFont="1" applyFill="1" applyBorder="1" applyAlignment="1">
      <alignment horizontal="left" vertical="top" wrapText="1"/>
    </xf>
    <xf numFmtId="171" fontId="64" fillId="16" borderId="31" xfId="0" applyNumberFormat="1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/>
    </xf>
    <xf numFmtId="0" fontId="71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2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171" fontId="64" fillId="16" borderId="79" xfId="0" applyNumberFormat="1" applyFont="1" applyFill="1" applyBorder="1" applyAlignment="1">
      <alignment horizontal="left" vertical="top" wrapText="1"/>
    </xf>
    <xf numFmtId="0" fontId="65" fillId="4" borderId="86" xfId="0" applyFont="1" applyFill="1" applyBorder="1" applyAlignment="1">
      <alignment horizontal="center" vertical="center" wrapText="1"/>
    </xf>
    <xf numFmtId="171" fontId="71" fillId="4" borderId="6" xfId="0" applyNumberFormat="1" applyFont="1" applyFill="1" applyBorder="1" applyAlignment="1">
      <alignment horizontal="center" vertical="center"/>
    </xf>
    <xf numFmtId="171" fontId="65" fillId="4" borderId="6" xfId="0" applyNumberFormat="1" applyFont="1" applyFill="1" applyBorder="1" applyAlignment="1">
      <alignment horizontal="center" vertical="center"/>
    </xf>
    <xf numFmtId="166" fontId="77" fillId="3" borderId="87" xfId="0" applyNumberFormat="1" applyFont="1" applyFill="1" applyBorder="1" applyAlignment="1">
      <alignment horizontal="center" vertical="center"/>
    </xf>
    <xf numFmtId="164" fontId="98" fillId="3" borderId="115" xfId="0" applyNumberFormat="1" applyFont="1" applyFill="1" applyBorder="1" applyAlignment="1">
      <alignment horizontal="left" vertical="top"/>
    </xf>
    <xf numFmtId="0" fontId="86" fillId="21" borderId="12" xfId="0" applyFont="1" applyFill="1" applyBorder="1" applyAlignment="1">
      <alignment horizontal="center" vertical="center" wrapText="1"/>
    </xf>
    <xf numFmtId="0" fontId="87" fillId="21" borderId="5" xfId="0" applyFont="1" applyFill="1" applyBorder="1" applyAlignment="1">
      <alignment horizontal="center" wrapText="1"/>
    </xf>
    <xf numFmtId="0" fontId="87" fillId="21" borderId="46" xfId="0" applyFont="1" applyFill="1" applyBorder="1" applyAlignment="1">
      <alignment horizontal="center" wrapText="1"/>
    </xf>
    <xf numFmtId="0" fontId="86" fillId="21" borderId="48" xfId="0" applyFont="1" applyFill="1" applyBorder="1" applyAlignment="1">
      <alignment horizontal="center" vertical="center" wrapText="1"/>
    </xf>
    <xf numFmtId="0" fontId="87" fillId="21" borderId="10" xfId="0" applyFont="1" applyFill="1" applyBorder="1" applyAlignment="1">
      <alignment horizontal="center" wrapText="1"/>
    </xf>
    <xf numFmtId="0" fontId="87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0" fontId="91" fillId="5" borderId="53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8" fillId="16" borderId="80" xfId="0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9" fontId="69" fillId="0" borderId="90" xfId="0" applyNumberFormat="1" applyFont="1" applyBorder="1" applyAlignment="1" applyProtection="1">
      <alignment horizontal="center" vertical="center"/>
      <protection locked="0"/>
    </xf>
    <xf numFmtId="169" fontId="69" fillId="0" borderId="86" xfId="0" applyNumberFormat="1" applyFont="1" applyBorder="1" applyAlignment="1" applyProtection="1">
      <alignment horizontal="center" vertical="center"/>
      <protection locked="0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6" fillId="21" borderId="12" xfId="0" applyNumberFormat="1" applyFont="1" applyFill="1" applyBorder="1" applyAlignment="1">
      <alignment horizontal="center" vertical="center" wrapText="1"/>
    </xf>
    <xf numFmtId="0" fontId="96" fillId="21" borderId="5" xfId="0" applyNumberFormat="1" applyFont="1" applyFill="1" applyBorder="1" applyAlignment="1">
      <alignment horizontal="center" vertical="center"/>
    </xf>
    <xf numFmtId="0" fontId="96" fillId="21" borderId="46" xfId="0" applyNumberFormat="1" applyFont="1" applyFill="1" applyBorder="1" applyAlignment="1">
      <alignment horizontal="center" vertical="center"/>
    </xf>
    <xf numFmtId="0" fontId="96" fillId="21" borderId="13" xfId="0" applyNumberFormat="1" applyFont="1" applyFill="1" applyBorder="1" applyAlignment="1">
      <alignment horizontal="center" vertical="center"/>
    </xf>
    <xf numFmtId="0" fontId="96" fillId="21" borderId="0" xfId="0" applyNumberFormat="1" applyFont="1" applyFill="1" applyAlignment="1">
      <alignment horizontal="center" vertical="center"/>
    </xf>
    <xf numFmtId="0" fontId="96" fillId="21" borderId="8" xfId="0" applyNumberFormat="1" applyFont="1" applyFill="1" applyBorder="1" applyAlignment="1">
      <alignment horizontal="center" vertical="center"/>
    </xf>
    <xf numFmtId="0" fontId="96" fillId="21" borderId="0" xfId="0" applyNumberFormat="1" applyFont="1" applyFill="1" applyBorder="1" applyAlignment="1">
      <alignment horizontal="center" vertical="center"/>
    </xf>
    <xf numFmtId="0" fontId="96" fillId="21" borderId="10" xfId="0" applyNumberFormat="1" applyFont="1" applyFill="1" applyBorder="1" applyAlignment="1">
      <alignment horizontal="center" vertical="center"/>
    </xf>
    <xf numFmtId="0" fontId="96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4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2" fillId="10" borderId="40" xfId="0" applyFont="1" applyFill="1" applyBorder="1" applyAlignment="1">
      <alignment horizontal="center" vertical="center" wrapText="1"/>
    </xf>
    <xf numFmtId="0" fontId="92" fillId="10" borderId="55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1" fontId="43" fillId="0" borderId="118" xfId="0" applyNumberFormat="1" applyFont="1" applyBorder="1" applyAlignment="1">
      <alignment horizontal="center" vertical="center" wrapText="1"/>
    </xf>
    <xf numFmtId="0" fontId="45" fillId="0" borderId="119" xfId="0" applyFont="1" applyBorder="1" applyAlignment="1">
      <alignment horizontal="center" vertical="center" wrapText="1"/>
    </xf>
    <xf numFmtId="0" fontId="88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24" xfId="0" applyFont="1" applyBorder="1" applyAlignment="1">
      <alignment horizontal="center" vertical="center"/>
    </xf>
    <xf numFmtId="0" fontId="45" fillId="0" borderId="125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164" fontId="69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09" xfId="0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69" fillId="0" borderId="41" xfId="0" applyNumberFormat="1" applyFont="1" applyBorder="1" applyAlignment="1" applyProtection="1">
      <alignment horizontal="center" vertical="center"/>
      <protection locked="0"/>
    </xf>
    <xf numFmtId="164" fontId="69" fillId="0" borderId="6" xfId="0" applyNumberFormat="1" applyFont="1" applyBorder="1" applyAlignment="1" applyProtection="1">
      <alignment horizontal="center" vertical="center"/>
      <protection locked="0"/>
    </xf>
    <xf numFmtId="164" fontId="73" fillId="3" borderId="114" xfId="0" applyNumberFormat="1" applyFont="1" applyFill="1" applyBorder="1" applyAlignment="1" applyProtection="1">
      <alignment horizontal="left" vertical="top"/>
      <protection locked="0"/>
    </xf>
    <xf numFmtId="168" fontId="29" fillId="16" borderId="106" xfId="0" applyNumberFormat="1" applyFont="1" applyFill="1" applyBorder="1" applyAlignment="1">
      <alignment horizontal="center" vertical="center" wrapText="1"/>
    </xf>
    <xf numFmtId="0" fontId="0" fillId="16" borderId="107" xfId="0" applyFill="1" applyBorder="1" applyAlignment="1">
      <alignment horizontal="center" vertical="center" wrapText="1"/>
    </xf>
    <xf numFmtId="0" fontId="0" fillId="16" borderId="108" xfId="0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64" fontId="98" fillId="3" borderId="114" xfId="0" applyNumberFormat="1" applyFont="1" applyFill="1" applyBorder="1" applyAlignment="1" applyProtection="1">
      <alignment horizontal="left" vertical="top"/>
      <protection locked="0"/>
    </xf>
    <xf numFmtId="164" fontId="77" fillId="0" borderId="37" xfId="0" applyNumberFormat="1" applyFont="1" applyBorder="1" applyAlignment="1" applyProtection="1">
      <alignment horizontal="center" vertical="center" wrapText="1"/>
      <protection locked="0"/>
    </xf>
    <xf numFmtId="164" fontId="77" fillId="0" borderId="41" xfId="0" applyNumberFormat="1" applyFont="1" applyBorder="1" applyAlignment="1" applyProtection="1">
      <alignment horizontal="center" vertical="center" wrapText="1"/>
      <protection locked="0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13" fillId="5" borderId="12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4" fillId="5" borderId="122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5" fillId="5" borderId="8" xfId="0" applyFont="1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49" fillId="3" borderId="121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46" xfId="0" applyFont="1" applyFill="1" applyBorder="1" applyAlignment="1">
      <alignment horizontal="center" vertical="center" wrapText="1"/>
    </xf>
    <xf numFmtId="0" fontId="49" fillId="3" borderId="122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23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69" fontId="77" fillId="0" borderId="90" xfId="0" applyNumberFormat="1" applyFont="1" applyBorder="1" applyAlignment="1" applyProtection="1">
      <alignment horizontal="center" vertical="center"/>
      <protection locked="0"/>
    </xf>
    <xf numFmtId="169" fontId="77" fillId="0" borderId="86" xfId="0" applyNumberFormat="1" applyFont="1" applyBorder="1" applyAlignment="1" applyProtection="1">
      <alignment horizontal="center" vertical="center"/>
      <protection locked="0"/>
    </xf>
    <xf numFmtId="14" fontId="84" fillId="3" borderId="92" xfId="0" applyNumberFormat="1" applyFont="1" applyFill="1" applyBorder="1" applyAlignment="1">
      <alignment horizontal="center" vertical="center" wrapText="1"/>
    </xf>
    <xf numFmtId="14" fontId="84" fillId="3" borderId="93" xfId="0" applyNumberFormat="1" applyFont="1" applyFill="1" applyBorder="1" applyAlignment="1">
      <alignment horizontal="center" vertical="center" wrapText="1"/>
    </xf>
    <xf numFmtId="0" fontId="76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6" fillId="3" borderId="121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2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3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48" fillId="3" borderId="121" xfId="0" applyFont="1" applyFill="1" applyBorder="1" applyAlignment="1">
      <alignment horizontal="center" vertical="center" wrapText="1"/>
    </xf>
    <xf numFmtId="0" fontId="8" fillId="16" borderId="126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68" fillId="3" borderId="30" xfId="0" applyFont="1" applyFill="1" applyBorder="1" applyAlignment="1" applyProtection="1">
      <alignment horizontal="left" vertical="top" wrapText="1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95" fillId="19" borderId="91" xfId="0" applyFont="1" applyFill="1" applyBorder="1" applyAlignment="1">
      <alignment horizontal="left" vertical="top" wrapText="1"/>
    </xf>
    <xf numFmtId="0" fontId="95" fillId="19" borderId="22" xfId="0" applyFont="1" applyFill="1" applyBorder="1" applyAlignment="1">
      <alignment horizontal="left" vertical="top"/>
    </xf>
    <xf numFmtId="0" fontId="95" fillId="19" borderId="91" xfId="0" applyFont="1" applyFill="1" applyBorder="1" applyAlignment="1">
      <alignment horizontal="left" vertical="top"/>
    </xf>
    <xf numFmtId="0" fontId="95" fillId="19" borderId="17" xfId="0" applyFont="1" applyFill="1" applyBorder="1" applyAlignment="1">
      <alignment horizontal="left" vertical="top"/>
    </xf>
    <xf numFmtId="0" fontId="95" fillId="19" borderId="43" xfId="0" applyFont="1" applyFill="1" applyBorder="1" applyAlignment="1">
      <alignment horizontal="left" vertical="top"/>
    </xf>
    <xf numFmtId="171" fontId="17" fillId="19" borderId="11" xfId="0" applyNumberFormat="1" applyFont="1" applyFill="1" applyBorder="1" applyAlignment="1">
      <alignment horizontal="center" vertical="center" wrapText="1"/>
    </xf>
    <xf numFmtId="0" fontId="80" fillId="19" borderId="91" xfId="0" applyFont="1" applyFill="1" applyBorder="1" applyAlignment="1">
      <alignment horizontal="left" vertical="top" wrapText="1"/>
    </xf>
    <xf numFmtId="0" fontId="17" fillId="19" borderId="22" xfId="0" applyFont="1" applyFill="1" applyBorder="1" applyAlignment="1">
      <alignment horizontal="left" vertical="top"/>
    </xf>
    <xf numFmtId="0" fontId="17" fillId="19" borderId="91" xfId="0" applyFont="1" applyFill="1" applyBorder="1" applyAlignment="1">
      <alignment horizontal="left" vertical="top"/>
    </xf>
    <xf numFmtId="0" fontId="17" fillId="19" borderId="17" xfId="0" applyFont="1" applyFill="1" applyBorder="1" applyAlignment="1">
      <alignment horizontal="left" vertical="top"/>
    </xf>
    <xf numFmtId="0" fontId="17" fillId="19" borderId="43" xfId="0" applyFont="1" applyFill="1" applyBorder="1" applyAlignment="1">
      <alignment horizontal="left" vertical="top"/>
    </xf>
    <xf numFmtId="0" fontId="18" fillId="19" borderId="97" xfId="0" applyFont="1" applyFill="1" applyBorder="1" applyAlignment="1" applyProtection="1">
      <alignment horizontal="center" vertical="center" wrapText="1"/>
      <protection locked="0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0" fontId="80" fillId="3" borderId="30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left" vertical="top" wrapText="1"/>
    </xf>
    <xf numFmtId="0" fontId="80" fillId="3" borderId="91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0" fillId="5" borderId="1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14" fontId="13" fillId="5" borderId="121" xfId="0" applyNumberFormat="1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AC6" sqref="AC6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77" customWidth="1"/>
    <col min="7" max="7" width="7.5703125" style="169" customWidth="1"/>
    <col min="8" max="8" width="4.7109375" style="122" customWidth="1"/>
    <col min="9" max="9" width="4.7109375" style="181" customWidth="1"/>
    <col min="10" max="10" width="7.5703125" style="170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22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262" t="s">
        <v>289</v>
      </c>
      <c r="B1" s="281">
        <f>K42</f>
        <v>5</v>
      </c>
      <c r="C1" s="106"/>
      <c r="D1" s="115"/>
      <c r="E1" s="283">
        <v>2018</v>
      </c>
      <c r="F1" s="284"/>
      <c r="G1" s="284"/>
      <c r="H1" s="285"/>
      <c r="I1" s="294" t="s">
        <v>238</v>
      </c>
      <c r="J1" s="355">
        <f>M42</f>
        <v>1</v>
      </c>
      <c r="K1" s="357" t="s">
        <v>239</v>
      </c>
      <c r="L1" s="359">
        <f>O42</f>
        <v>3</v>
      </c>
      <c r="M1" s="361" t="s">
        <v>240</v>
      </c>
      <c r="N1" s="355">
        <f>Q42</f>
        <v>1</v>
      </c>
      <c r="O1" s="364">
        <f>S42</f>
        <v>1</v>
      </c>
      <c r="P1" s="520" t="s">
        <v>308</v>
      </c>
      <c r="Q1" s="520"/>
      <c r="R1" s="520"/>
      <c r="S1" s="520"/>
      <c r="T1" s="520"/>
      <c r="U1" s="521">
        <v>43329</v>
      </c>
      <c r="V1" s="520"/>
      <c r="W1" s="520"/>
      <c r="X1" s="520"/>
      <c r="Y1" s="522"/>
      <c r="Z1" s="310">
        <f>Z42</f>
        <v>0</v>
      </c>
      <c r="AA1" s="310">
        <f>AA42</f>
        <v>3</v>
      </c>
      <c r="AB1" s="310">
        <f>AB42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263"/>
      <c r="B2" s="282"/>
      <c r="C2" s="217"/>
      <c r="D2" s="218"/>
      <c r="E2" s="286"/>
      <c r="F2" s="287"/>
      <c r="G2" s="287"/>
      <c r="H2" s="288"/>
      <c r="I2" s="295"/>
      <c r="J2" s="356"/>
      <c r="K2" s="358"/>
      <c r="L2" s="360"/>
      <c r="M2" s="362"/>
      <c r="N2" s="363"/>
      <c r="O2" s="365"/>
      <c r="P2" s="368" t="str">
        <f>A6</f>
        <v>D07 - C5 - Coasters Harbor Run</v>
      </c>
      <c r="Q2" s="368"/>
      <c r="R2" s="368"/>
      <c r="S2" s="368"/>
      <c r="T2" s="368"/>
      <c r="U2" s="375" t="s">
        <v>0</v>
      </c>
      <c r="V2" s="376"/>
      <c r="W2" s="376"/>
      <c r="X2" s="376"/>
      <c r="Y2" s="377"/>
      <c r="Z2" s="311"/>
      <c r="AA2" s="311"/>
      <c r="AB2" s="31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256" t="s">
        <v>288</v>
      </c>
      <c r="B3" s="257"/>
      <c r="C3" s="257"/>
      <c r="D3" s="258"/>
      <c r="E3" s="289"/>
      <c r="F3" s="287"/>
      <c r="G3" s="287"/>
      <c r="H3" s="288"/>
      <c r="I3" s="292">
        <f>Z1</f>
        <v>0</v>
      </c>
      <c r="J3" s="347">
        <f>IF(I3=0,0,I3/J1)</f>
        <v>0</v>
      </c>
      <c r="K3" s="349">
        <f>AA1</f>
        <v>3</v>
      </c>
      <c r="L3" s="347">
        <f>IF(K3=0,0,K3/L1)</f>
        <v>1</v>
      </c>
      <c r="M3" s="351">
        <f>AB1</f>
        <v>0</v>
      </c>
      <c r="N3" s="347">
        <f>IF(M3=0,0,M3/N1)</f>
        <v>0</v>
      </c>
      <c r="O3" s="353" t="s">
        <v>241</v>
      </c>
      <c r="P3" s="368"/>
      <c r="Q3" s="368"/>
      <c r="R3" s="368"/>
      <c r="S3" s="368"/>
      <c r="T3" s="368"/>
      <c r="U3" s="369" t="s">
        <v>244</v>
      </c>
      <c r="V3" s="370"/>
      <c r="W3" s="370"/>
      <c r="X3" s="370"/>
      <c r="Y3" s="371"/>
      <c r="Z3" s="514" t="s">
        <v>318</v>
      </c>
      <c r="AA3" s="515"/>
      <c r="AB3" s="51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259"/>
      <c r="B4" s="260"/>
      <c r="C4" s="260"/>
      <c r="D4" s="261"/>
      <c r="E4" s="290"/>
      <c r="F4" s="290"/>
      <c r="G4" s="290"/>
      <c r="H4" s="291"/>
      <c r="I4" s="293"/>
      <c r="J4" s="348"/>
      <c r="K4" s="350"/>
      <c r="L4" s="348"/>
      <c r="M4" s="352"/>
      <c r="N4" s="348"/>
      <c r="O4" s="354"/>
      <c r="P4" s="366" t="s">
        <v>294</v>
      </c>
      <c r="Q4" s="367"/>
      <c r="R4" s="367"/>
      <c r="S4" s="367"/>
      <c r="T4" s="367"/>
      <c r="U4" s="372" t="s">
        <v>245</v>
      </c>
      <c r="V4" s="373"/>
      <c r="W4" s="373"/>
      <c r="X4" s="373"/>
      <c r="Y4" s="374"/>
      <c r="Z4" s="517"/>
      <c r="AA4" s="518"/>
      <c r="AB4" s="51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00" t="s">
        <v>0</v>
      </c>
      <c r="B5" s="301"/>
      <c r="C5" s="301"/>
      <c r="D5" s="301"/>
      <c r="E5" s="302"/>
      <c r="F5" s="302"/>
      <c r="G5" s="302"/>
      <c r="H5" s="121"/>
      <c r="I5" s="180"/>
      <c r="J5" s="306" t="s">
        <v>0</v>
      </c>
      <c r="K5" s="307"/>
      <c r="L5" s="38" t="s">
        <v>0</v>
      </c>
      <c r="M5" s="39" t="s">
        <v>0</v>
      </c>
      <c r="N5" s="303" t="s">
        <v>0</v>
      </c>
      <c r="O5" s="304"/>
      <c r="P5" s="305"/>
      <c r="Q5" s="113" t="s">
        <v>0</v>
      </c>
      <c r="R5" s="114"/>
      <c r="S5" s="114"/>
      <c r="T5" s="211"/>
      <c r="U5" s="319" t="s">
        <v>3</v>
      </c>
      <c r="V5" s="321" t="s">
        <v>239</v>
      </c>
      <c r="W5" s="414" t="s">
        <v>240</v>
      </c>
      <c r="X5" s="315" t="s">
        <v>238</v>
      </c>
      <c r="Y5" s="317" t="s">
        <v>290</v>
      </c>
      <c r="Z5" s="264" t="s">
        <v>238</v>
      </c>
      <c r="AA5" s="296" t="s">
        <v>239</v>
      </c>
      <c r="AB5" s="298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312" t="s">
        <v>296</v>
      </c>
      <c r="B6" s="313"/>
      <c r="C6" s="313"/>
      <c r="D6" s="314"/>
      <c r="E6" s="378" t="s">
        <v>291</v>
      </c>
      <c r="F6" s="379"/>
      <c r="G6" s="379"/>
      <c r="H6" s="379"/>
      <c r="I6" s="379"/>
      <c r="J6" s="380"/>
      <c r="K6" s="308" t="s">
        <v>310</v>
      </c>
      <c r="L6" s="309"/>
      <c r="M6" s="309"/>
      <c r="N6" s="309"/>
      <c r="O6" s="309"/>
      <c r="P6" s="308" t="s">
        <v>292</v>
      </c>
      <c r="Q6" s="309"/>
      <c r="R6" s="309"/>
      <c r="S6" s="309"/>
      <c r="T6" s="309"/>
      <c r="U6" s="320"/>
      <c r="V6" s="322"/>
      <c r="W6" s="415"/>
      <c r="X6" s="316"/>
      <c r="Y6" s="318"/>
      <c r="Z6" s="265"/>
      <c r="AA6" s="297"/>
      <c r="AB6" s="299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32" t="s">
        <v>254</v>
      </c>
      <c r="B7" s="233" t="s">
        <v>0</v>
      </c>
      <c r="C7" s="234"/>
      <c r="D7" s="235"/>
      <c r="E7" s="236" t="s">
        <v>249</v>
      </c>
      <c r="F7" s="237"/>
      <c r="G7" s="238"/>
      <c r="H7" s="239" t="s">
        <v>251</v>
      </c>
      <c r="I7" s="237"/>
      <c r="J7" s="250"/>
      <c r="K7" s="153" t="s">
        <v>253</v>
      </c>
      <c r="L7" s="167">
        <v>0</v>
      </c>
      <c r="M7" s="154" t="s">
        <v>16</v>
      </c>
      <c r="N7" s="173" t="s">
        <v>0</v>
      </c>
      <c r="O7" s="123"/>
      <c r="P7" s="275" t="str">
        <f>P2</f>
        <v>D07 - C5 - Coasters Harbor Run</v>
      </c>
      <c r="Q7" s="276"/>
      <c r="R7" s="276"/>
      <c r="S7" s="276"/>
      <c r="T7" s="276"/>
      <c r="U7" s="245"/>
      <c r="V7" s="246"/>
      <c r="W7" s="247"/>
      <c r="X7" s="248"/>
      <c r="Y7" s="246"/>
      <c r="Z7" s="248"/>
      <c r="AA7" s="246"/>
      <c r="AB7" s="249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16" t="s">
        <v>0</v>
      </c>
      <c r="B8" s="131" t="s">
        <v>11</v>
      </c>
      <c r="C8" s="132"/>
      <c r="D8" s="133" t="s">
        <v>12</v>
      </c>
      <c r="E8" s="174" t="s">
        <v>246</v>
      </c>
      <c r="F8" s="174" t="s">
        <v>247</v>
      </c>
      <c r="G8" s="168" t="s">
        <v>248</v>
      </c>
      <c r="H8" s="133" t="s">
        <v>246</v>
      </c>
      <c r="I8" s="174" t="s">
        <v>247</v>
      </c>
      <c r="J8" s="168" t="s">
        <v>248</v>
      </c>
      <c r="K8" s="134" t="s">
        <v>13</v>
      </c>
      <c r="L8" s="135" t="s">
        <v>14</v>
      </c>
      <c r="M8" s="135" t="s">
        <v>17</v>
      </c>
      <c r="N8" s="136" t="s">
        <v>15</v>
      </c>
      <c r="O8" s="137" t="s">
        <v>19</v>
      </c>
      <c r="P8" s="220" t="s">
        <v>256</v>
      </c>
      <c r="Q8" s="140" t="s">
        <v>252</v>
      </c>
      <c r="R8" s="141"/>
      <c r="S8" s="142" t="s">
        <v>191</v>
      </c>
      <c r="T8" s="212"/>
      <c r="U8" s="411" t="s">
        <v>286</v>
      </c>
      <c r="V8" s="412"/>
      <c r="W8" s="412"/>
      <c r="X8" s="412"/>
      <c r="Y8" s="413"/>
      <c r="Z8" s="143" t="s">
        <v>238</v>
      </c>
      <c r="AA8" s="144" t="s">
        <v>239</v>
      </c>
      <c r="AB8" s="145" t="s">
        <v>240</v>
      </c>
      <c r="AC8" s="188"/>
      <c r="AD8" s="189"/>
      <c r="AE8" s="190" t="s">
        <v>266</v>
      </c>
      <c r="AF8" s="189"/>
      <c r="AG8" s="190" t="s">
        <v>267</v>
      </c>
      <c r="AH8" s="190"/>
      <c r="AI8" s="190" t="s">
        <v>268</v>
      </c>
      <c r="AJ8" s="189"/>
      <c r="AK8" s="191" t="s">
        <v>278</v>
      </c>
      <c r="AL8" s="189"/>
      <c r="AM8" s="190"/>
      <c r="AN8" s="189"/>
      <c r="AO8" s="191" t="s">
        <v>275</v>
      </c>
      <c r="AP8" s="189"/>
      <c r="AQ8" s="190"/>
      <c r="AR8" s="189"/>
      <c r="AS8" s="190"/>
      <c r="AT8" s="189"/>
      <c r="AU8" s="189"/>
    </row>
    <row r="9" spans="1:47" s="120" customFormat="1" ht="15.95" customHeight="1" thickBot="1" x14ac:dyDescent="0.3">
      <c r="A9" s="124">
        <v>0</v>
      </c>
      <c r="B9" s="337" t="s">
        <v>297</v>
      </c>
      <c r="C9" s="328" t="s">
        <v>0</v>
      </c>
      <c r="D9" s="230" t="s">
        <v>237</v>
      </c>
      <c r="E9" s="175">
        <v>41</v>
      </c>
      <c r="F9" s="178">
        <v>30</v>
      </c>
      <c r="G9" s="125">
        <v>6.4</v>
      </c>
      <c r="H9" s="160">
        <v>71</v>
      </c>
      <c r="I9" s="178">
        <v>19</v>
      </c>
      <c r="J9" s="125">
        <v>36.6</v>
      </c>
      <c r="K9" s="279" t="s">
        <v>0</v>
      </c>
      <c r="L9" s="331" t="s">
        <v>0</v>
      </c>
      <c r="M9" s="333">
        <v>19.7</v>
      </c>
      <c r="N9" s="390">
        <f>IF(M9=" "," ",(M9+$L$7-M12))</f>
        <v>16.7</v>
      </c>
      <c r="O9" s="340">
        <v>500</v>
      </c>
      <c r="P9" s="394">
        <v>42263</v>
      </c>
      <c r="Q9" s="138" t="s">
        <v>298</v>
      </c>
      <c r="R9" s="139" t="s">
        <v>0</v>
      </c>
      <c r="S9" s="277" t="s">
        <v>299</v>
      </c>
      <c r="T9" s="278"/>
      <c r="U9" s="213">
        <v>1</v>
      </c>
      <c r="V9" s="146" t="s">
        <v>0</v>
      </c>
      <c r="W9" s="147" t="s">
        <v>0</v>
      </c>
      <c r="X9" s="148">
        <v>1</v>
      </c>
      <c r="Y9" s="149" t="s">
        <v>0</v>
      </c>
      <c r="Z9" s="150" t="s">
        <v>0</v>
      </c>
      <c r="AA9" s="146" t="s">
        <v>0</v>
      </c>
      <c r="AB9" s="151" t="s">
        <v>0</v>
      </c>
      <c r="AC9" s="192" t="s">
        <v>237</v>
      </c>
      <c r="AD9" s="195" t="s">
        <v>262</v>
      </c>
      <c r="AE9" s="194">
        <f>E9+F9/60+G9/60/60</f>
        <v>41.501777777777775</v>
      </c>
      <c r="AF9" s="195" t="s">
        <v>263</v>
      </c>
      <c r="AG9" s="194" t="e">
        <f>E12+F12/60+G12/60/60</f>
        <v>#VALUE!</v>
      </c>
      <c r="AH9" s="201" t="s">
        <v>269</v>
      </c>
      <c r="AI9" s="194" t="e">
        <f>AG9-AE9</f>
        <v>#VALUE!</v>
      </c>
      <c r="AJ9" s="195" t="s">
        <v>271</v>
      </c>
      <c r="AK9" s="194" t="e">
        <f>AI10*60*COS((AE9+AG9)/2*PI()/180)</f>
        <v>#VALUE!</v>
      </c>
      <c r="AL9" s="195" t="s">
        <v>273</v>
      </c>
      <c r="AM9" s="194" t="e">
        <f>AK9*6076.12</f>
        <v>#VALUE!</v>
      </c>
      <c r="AN9" s="195" t="s">
        <v>276</v>
      </c>
      <c r="AO9" s="194">
        <f>AE9*PI()/180</f>
        <v>0.72434266765323763</v>
      </c>
      <c r="AP9" s="195" t="s">
        <v>279</v>
      </c>
      <c r="AQ9" s="194" t="e">
        <f>AG9 *PI()/180</f>
        <v>#VALUE!</v>
      </c>
      <c r="AR9" s="195" t="s">
        <v>281</v>
      </c>
      <c r="AS9" s="194" t="e">
        <f>1*ATAN2(COS(AO9)*SIN(AQ9)-SIN(AO9)*COS(AQ9)*COS(AQ10-AO10),SIN(AQ10-AO10)*COS(AQ9))</f>
        <v>#VALUE!</v>
      </c>
      <c r="AT9" s="196" t="s">
        <v>284</v>
      </c>
      <c r="AU9" s="202" t="e">
        <f>SQRT(AK10*AK10+AK9*AK9)</f>
        <v>#VALUE!</v>
      </c>
    </row>
    <row r="10" spans="1:47" s="120" customFormat="1" ht="15.95" customHeight="1" thickTop="1" thickBot="1" x14ac:dyDescent="0.3">
      <c r="A10" s="166">
        <v>100117576602</v>
      </c>
      <c r="B10" s="338"/>
      <c r="C10" s="329"/>
      <c r="D10" s="230" t="s">
        <v>242</v>
      </c>
      <c r="E10" s="325" t="s">
        <v>260</v>
      </c>
      <c r="F10" s="326"/>
      <c r="G10" s="326"/>
      <c r="H10" s="326"/>
      <c r="I10" s="326"/>
      <c r="J10" s="327"/>
      <c r="K10" s="280"/>
      <c r="L10" s="332"/>
      <c r="M10" s="333"/>
      <c r="N10" s="391"/>
      <c r="O10" s="341"/>
      <c r="P10" s="395"/>
      <c r="Q10" s="500" t="s">
        <v>314</v>
      </c>
      <c r="R10" s="501"/>
      <c r="S10" s="501"/>
      <c r="T10" s="501"/>
      <c r="U10" s="401" t="s">
        <v>316</v>
      </c>
      <c r="V10" s="402"/>
      <c r="W10" s="402"/>
      <c r="X10" s="402"/>
      <c r="Y10" s="403"/>
      <c r="Z10" s="266" t="s">
        <v>301</v>
      </c>
      <c r="AA10" s="267"/>
      <c r="AB10" s="268"/>
      <c r="AC10" s="192" t="s">
        <v>192</v>
      </c>
      <c r="AD10" s="195" t="s">
        <v>264</v>
      </c>
      <c r="AE10" s="194">
        <f>H9+I9/60+J9/60/60</f>
        <v>71.326833333333326</v>
      </c>
      <c r="AF10" s="195" t="s">
        <v>265</v>
      </c>
      <c r="AG10" s="194" t="e">
        <f>H12+I12/60+J12/60/60</f>
        <v>#VALUE!</v>
      </c>
      <c r="AH10" s="201" t="s">
        <v>270</v>
      </c>
      <c r="AI10" s="194" t="e">
        <f>AE10-AG10</f>
        <v>#VALUE!</v>
      </c>
      <c r="AJ10" s="195" t="s">
        <v>272</v>
      </c>
      <c r="AK10" s="194" t="e">
        <f>AI9*60</f>
        <v>#VALUE!</v>
      </c>
      <c r="AL10" s="195" t="s">
        <v>274</v>
      </c>
      <c r="AM10" s="194" t="e">
        <f>AK10*6076.12</f>
        <v>#VALUE!</v>
      </c>
      <c r="AN10" s="195" t="s">
        <v>277</v>
      </c>
      <c r="AO10" s="194">
        <f>AE10*PI()/180</f>
        <v>1.2448880866879086</v>
      </c>
      <c r="AP10" s="195" t="s">
        <v>280</v>
      </c>
      <c r="AQ10" s="194" t="e">
        <f>AG10*PI()/180</f>
        <v>#VALUE!</v>
      </c>
      <c r="AR10" s="195" t="s">
        <v>282</v>
      </c>
      <c r="AS10" s="193" t="e">
        <f>IF(360+AS9/(2*PI())*360&gt;360,AS9/(PI())*360,360+AS9/(2*PI())*360)</f>
        <v>#VALUE!</v>
      </c>
      <c r="AT10" s="197"/>
      <c r="AU10" s="197"/>
    </row>
    <row r="11" spans="1:47" s="120" customFormat="1" ht="15.95" customHeight="1" thickBot="1" x14ac:dyDescent="0.3">
      <c r="A11" s="164">
        <v>1</v>
      </c>
      <c r="B11" s="338"/>
      <c r="C11" s="329"/>
      <c r="D11" s="230" t="s">
        <v>243</v>
      </c>
      <c r="E11" s="334" t="s">
        <v>259</v>
      </c>
      <c r="F11" s="335"/>
      <c r="G11" s="335"/>
      <c r="H11" s="335"/>
      <c r="I11" s="335"/>
      <c r="J11" s="336"/>
      <c r="K11" s="126" t="s">
        <v>16</v>
      </c>
      <c r="L11" s="209" t="s">
        <v>285</v>
      </c>
      <c r="M11" s="127" t="s">
        <v>250</v>
      </c>
      <c r="N11" s="128" t="s">
        <v>4</v>
      </c>
      <c r="O11" s="129" t="s">
        <v>18</v>
      </c>
      <c r="P11" s="221" t="s">
        <v>188</v>
      </c>
      <c r="Q11" s="502"/>
      <c r="R11" s="501"/>
      <c r="S11" s="501"/>
      <c r="T11" s="501"/>
      <c r="U11" s="404"/>
      <c r="V11" s="405"/>
      <c r="W11" s="405"/>
      <c r="X11" s="405"/>
      <c r="Y11" s="406"/>
      <c r="Z11" s="269"/>
      <c r="AA11" s="270"/>
      <c r="AB11" s="271"/>
      <c r="AC11" s="198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5" t="s">
        <v>283</v>
      </c>
      <c r="AS11" s="193" t="e">
        <f>61.582*ACOS(SIN(AE9)*SIN(AG9)+COS(AE9)*COS(AG9)*(AE10-AG10))*6076.12</f>
        <v>#VALUE!</v>
      </c>
      <c r="AT11" s="197"/>
      <c r="AU11" s="197"/>
    </row>
    <row r="12" spans="1:47" s="119" customFormat="1" ht="35.1" customHeight="1" thickTop="1" thickBot="1" x14ac:dyDescent="0.3">
      <c r="A12" s="505" t="str">
        <f>IF(Z9=1,"VERIFIED",IF(AA9=1,"RECHECKED",IF(V9=1,"RECHECK",IF(X9=1,"VERIFY",IF(Y9=1,"NEED PMT APP","SANITY CHECK ONLY")))))</f>
        <v>VERIFY</v>
      </c>
      <c r="B12" s="339"/>
      <c r="C12" s="330"/>
      <c r="D12" s="231" t="s">
        <v>192</v>
      </c>
      <c r="E12" s="176" t="s">
        <v>0</v>
      </c>
      <c r="F12" s="179" t="s">
        <v>0</v>
      </c>
      <c r="G12" s="172" t="s">
        <v>0</v>
      </c>
      <c r="H12" s="171" t="s">
        <v>0</v>
      </c>
      <c r="I12" s="179" t="s">
        <v>0</v>
      </c>
      <c r="J12" s="172" t="s">
        <v>0</v>
      </c>
      <c r="K12" s="130" t="str">
        <f>$N$7</f>
        <v xml:space="preserve"> </v>
      </c>
      <c r="L12" s="204" t="str">
        <f>IF(E12=" ","Not being used ",AU9*6076.12)</f>
        <v xml:space="preserve">Not being used </v>
      </c>
      <c r="M12" s="203">
        <v>3</v>
      </c>
      <c r="N12" s="227" t="str">
        <f>IF(W9=1,"Need Photo","Has Photo")</f>
        <v>Has Photo</v>
      </c>
      <c r="O12" s="228" t="s">
        <v>258</v>
      </c>
      <c r="P12" s="223" t="str">
        <f>IF(E12=" ","Not being used",(IF(L12&gt;O9,"OFF STA","ON STA")))</f>
        <v>Not being used</v>
      </c>
      <c r="Q12" s="503"/>
      <c r="R12" s="504"/>
      <c r="S12" s="504"/>
      <c r="T12" s="504"/>
      <c r="U12" s="407"/>
      <c r="V12" s="408"/>
      <c r="W12" s="408"/>
      <c r="X12" s="408"/>
      <c r="Y12" s="409"/>
      <c r="Z12" s="272"/>
      <c r="AA12" s="273"/>
      <c r="AB12" s="274"/>
      <c r="AC12" s="199"/>
      <c r="AD12" s="200"/>
      <c r="AE12" s="200"/>
      <c r="AF12" s="200"/>
      <c r="AG12" s="200" t="s">
        <v>0</v>
      </c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 t="s">
        <v>0</v>
      </c>
      <c r="AT12" s="200"/>
      <c r="AU12" s="200"/>
    </row>
    <row r="13" spans="1:47" s="117" customFormat="1" ht="9" customHeight="1" thickTop="1" thickBot="1" x14ac:dyDescent="0.3">
      <c r="A13" s="216" t="s">
        <v>0</v>
      </c>
      <c r="B13" s="131" t="s">
        <v>11</v>
      </c>
      <c r="C13" s="132"/>
      <c r="D13" s="133" t="s">
        <v>12</v>
      </c>
      <c r="E13" s="174" t="s">
        <v>246</v>
      </c>
      <c r="F13" s="174" t="s">
        <v>247</v>
      </c>
      <c r="G13" s="168" t="s">
        <v>248</v>
      </c>
      <c r="H13" s="133" t="s">
        <v>246</v>
      </c>
      <c r="I13" s="174" t="s">
        <v>247</v>
      </c>
      <c r="J13" s="168" t="s">
        <v>248</v>
      </c>
      <c r="K13" s="134" t="s">
        <v>13</v>
      </c>
      <c r="L13" s="135" t="s">
        <v>14</v>
      </c>
      <c r="M13" s="135" t="s">
        <v>17</v>
      </c>
      <c r="N13" s="136" t="s">
        <v>15</v>
      </c>
      <c r="O13" s="137" t="s">
        <v>19</v>
      </c>
      <c r="P13" s="220" t="s">
        <v>256</v>
      </c>
      <c r="Q13" s="140" t="s">
        <v>252</v>
      </c>
      <c r="R13" s="141"/>
      <c r="S13" s="142" t="s">
        <v>191</v>
      </c>
      <c r="T13" s="212"/>
      <c r="U13" s="411" t="s">
        <v>286</v>
      </c>
      <c r="V13" s="412"/>
      <c r="W13" s="412"/>
      <c r="X13" s="412"/>
      <c r="Y13" s="413"/>
      <c r="Z13" s="143" t="s">
        <v>238</v>
      </c>
      <c r="AA13" s="144" t="s">
        <v>239</v>
      </c>
      <c r="AB13" s="145" t="s">
        <v>240</v>
      </c>
      <c r="AC13" s="188"/>
      <c r="AD13" s="189"/>
      <c r="AE13" s="190" t="s">
        <v>266</v>
      </c>
      <c r="AF13" s="189"/>
      <c r="AG13" s="190" t="s">
        <v>267</v>
      </c>
      <c r="AH13" s="190"/>
      <c r="AI13" s="190" t="s">
        <v>268</v>
      </c>
      <c r="AJ13" s="189"/>
      <c r="AK13" s="191" t="s">
        <v>278</v>
      </c>
      <c r="AL13" s="189"/>
      <c r="AM13" s="190"/>
      <c r="AN13" s="189"/>
      <c r="AO13" s="191" t="s">
        <v>275</v>
      </c>
      <c r="AP13" s="189"/>
      <c r="AQ13" s="190"/>
      <c r="AR13" s="189"/>
      <c r="AS13" s="190"/>
      <c r="AT13" s="189"/>
      <c r="AU13" s="189"/>
    </row>
    <row r="14" spans="1:47" s="120" customFormat="1" ht="15.95" customHeight="1" thickBot="1" x14ac:dyDescent="0.3">
      <c r="A14" s="229" t="s">
        <v>5</v>
      </c>
      <c r="B14" s="337" t="s">
        <v>300</v>
      </c>
      <c r="C14" s="328" t="s">
        <v>0</v>
      </c>
      <c r="D14" s="230" t="s">
        <v>237</v>
      </c>
      <c r="E14" s="175">
        <v>41</v>
      </c>
      <c r="F14" s="178">
        <v>30</v>
      </c>
      <c r="G14" s="125">
        <v>9.8640000000000008</v>
      </c>
      <c r="H14" s="160">
        <v>71</v>
      </c>
      <c r="I14" s="178">
        <v>19</v>
      </c>
      <c r="J14" s="125">
        <v>32.966000000000001</v>
      </c>
      <c r="K14" s="279" t="s">
        <v>0</v>
      </c>
      <c r="L14" s="331" t="s">
        <v>0</v>
      </c>
      <c r="M14" s="333">
        <v>0</v>
      </c>
      <c r="N14" s="390">
        <f>IF(M14=" "," ",(M14+$L$7-M17))</f>
        <v>0</v>
      </c>
      <c r="O14" s="340">
        <v>25</v>
      </c>
      <c r="P14" s="394">
        <v>42994</v>
      </c>
      <c r="Q14" s="138" t="s">
        <v>298</v>
      </c>
      <c r="R14" s="139" t="s">
        <v>0</v>
      </c>
      <c r="S14" s="277" t="s">
        <v>0</v>
      </c>
      <c r="T14" s="278"/>
      <c r="U14" s="213">
        <v>1</v>
      </c>
      <c r="V14" s="146" t="s">
        <v>0</v>
      </c>
      <c r="W14" s="147">
        <v>1</v>
      </c>
      <c r="X14" s="148" t="s">
        <v>0</v>
      </c>
      <c r="Y14" s="149">
        <v>1</v>
      </c>
      <c r="Z14" s="150" t="s">
        <v>0</v>
      </c>
      <c r="AA14" s="146" t="s">
        <v>0</v>
      </c>
      <c r="AB14" s="151" t="s">
        <v>0</v>
      </c>
      <c r="AC14" s="192" t="s">
        <v>237</v>
      </c>
      <c r="AD14" s="195" t="s">
        <v>262</v>
      </c>
      <c r="AE14" s="194">
        <f>E14+F14/60+G14/60/60</f>
        <v>41.502740000000003</v>
      </c>
      <c r="AF14" s="195" t="s">
        <v>263</v>
      </c>
      <c r="AG14" s="194" t="e">
        <f>E17+F17/60+G17/60/60</f>
        <v>#VALUE!</v>
      </c>
      <c r="AH14" s="201" t="s">
        <v>269</v>
      </c>
      <c r="AI14" s="194" t="e">
        <f>AG14-AE14</f>
        <v>#VALUE!</v>
      </c>
      <c r="AJ14" s="195" t="s">
        <v>271</v>
      </c>
      <c r="AK14" s="194" t="e">
        <f>AI15*60*COS((AE14+AG14)/2*PI()/180)</f>
        <v>#VALUE!</v>
      </c>
      <c r="AL14" s="195" t="s">
        <v>273</v>
      </c>
      <c r="AM14" s="194" t="e">
        <f>AK14*6076.12</f>
        <v>#VALUE!</v>
      </c>
      <c r="AN14" s="195" t="s">
        <v>276</v>
      </c>
      <c r="AO14" s="194">
        <f>AE14*PI()/180</f>
        <v>0.72435946159915154</v>
      </c>
      <c r="AP14" s="195" t="s">
        <v>279</v>
      </c>
      <c r="AQ14" s="194" t="e">
        <f>AG14 *PI()/180</f>
        <v>#VALUE!</v>
      </c>
      <c r="AR14" s="195" t="s">
        <v>281</v>
      </c>
      <c r="AS14" s="194" t="e">
        <f>1*ATAN2(COS(AO14)*SIN(AQ14)-SIN(AO14)*COS(AQ14)*COS(AQ15-AO15),SIN(AQ15-AO15)*COS(AQ14))</f>
        <v>#VALUE!</v>
      </c>
      <c r="AT14" s="196" t="s">
        <v>284</v>
      </c>
      <c r="AU14" s="202" t="e">
        <f>SQRT(AK15*AK15+AK14*AK14)</f>
        <v>#VALUE!</v>
      </c>
    </row>
    <row r="15" spans="1:47" s="120" customFormat="1" ht="15.95" customHeight="1" thickTop="1" thickBot="1" x14ac:dyDescent="0.3">
      <c r="A15" s="166" t="s">
        <v>0</v>
      </c>
      <c r="B15" s="338"/>
      <c r="C15" s="329"/>
      <c r="D15" s="230" t="s">
        <v>242</v>
      </c>
      <c r="E15" s="325" t="s">
        <v>260</v>
      </c>
      <c r="F15" s="326"/>
      <c r="G15" s="326"/>
      <c r="H15" s="326"/>
      <c r="I15" s="326"/>
      <c r="J15" s="327"/>
      <c r="K15" s="280"/>
      <c r="L15" s="332"/>
      <c r="M15" s="333"/>
      <c r="N15" s="391"/>
      <c r="O15" s="341"/>
      <c r="P15" s="395"/>
      <c r="Q15" s="494" t="s">
        <v>307</v>
      </c>
      <c r="R15" s="495"/>
      <c r="S15" s="495"/>
      <c r="T15" s="495"/>
      <c r="U15" s="381" t="s">
        <v>315</v>
      </c>
      <c r="V15" s="382"/>
      <c r="W15" s="382"/>
      <c r="X15" s="382"/>
      <c r="Y15" s="383"/>
      <c r="Z15" s="266" t="s">
        <v>301</v>
      </c>
      <c r="AA15" s="267"/>
      <c r="AB15" s="268"/>
      <c r="AC15" s="192" t="s">
        <v>192</v>
      </c>
      <c r="AD15" s="195" t="s">
        <v>264</v>
      </c>
      <c r="AE15" s="194">
        <f>H14+I14/60+J14/60/60</f>
        <v>71.325823888888891</v>
      </c>
      <c r="AF15" s="195" t="s">
        <v>265</v>
      </c>
      <c r="AG15" s="194" t="e">
        <f>H17+I17/60+J17/60/60</f>
        <v>#VALUE!</v>
      </c>
      <c r="AH15" s="201" t="s">
        <v>270</v>
      </c>
      <c r="AI15" s="194" t="e">
        <f>AE15-AG15</f>
        <v>#VALUE!</v>
      </c>
      <c r="AJ15" s="195" t="s">
        <v>272</v>
      </c>
      <c r="AK15" s="194" t="e">
        <f>AI14*60</f>
        <v>#VALUE!</v>
      </c>
      <c r="AL15" s="195" t="s">
        <v>274</v>
      </c>
      <c r="AM15" s="194" t="e">
        <f>AK15*6076.12</f>
        <v>#VALUE!</v>
      </c>
      <c r="AN15" s="195" t="s">
        <v>277</v>
      </c>
      <c r="AO15" s="194">
        <f>AE15*PI()/180</f>
        <v>1.2448704685587373</v>
      </c>
      <c r="AP15" s="195" t="s">
        <v>280</v>
      </c>
      <c r="AQ15" s="194" t="e">
        <f>AG15*PI()/180</f>
        <v>#VALUE!</v>
      </c>
      <c r="AR15" s="195" t="s">
        <v>282</v>
      </c>
      <c r="AS15" s="193" t="e">
        <f>IF(360+AS14/(2*PI())*360&gt;360,AS14/(PI())*360,360+AS14/(2*PI())*360)</f>
        <v>#VALUE!</v>
      </c>
      <c r="AT15" s="197"/>
      <c r="AU15" s="197"/>
    </row>
    <row r="16" spans="1:47" s="120" customFormat="1" ht="15.95" customHeight="1" thickBot="1" x14ac:dyDescent="0.3">
      <c r="A16" s="164">
        <v>2</v>
      </c>
      <c r="B16" s="338"/>
      <c r="C16" s="329"/>
      <c r="D16" s="230" t="s">
        <v>243</v>
      </c>
      <c r="E16" s="334" t="s">
        <v>259</v>
      </c>
      <c r="F16" s="335"/>
      <c r="G16" s="335"/>
      <c r="H16" s="335"/>
      <c r="I16" s="335"/>
      <c r="J16" s="336"/>
      <c r="K16" s="126" t="s">
        <v>16</v>
      </c>
      <c r="L16" s="209" t="s">
        <v>285</v>
      </c>
      <c r="M16" s="127" t="s">
        <v>250</v>
      </c>
      <c r="N16" s="128" t="s">
        <v>4</v>
      </c>
      <c r="O16" s="129" t="s">
        <v>18</v>
      </c>
      <c r="P16" s="221" t="s">
        <v>188</v>
      </c>
      <c r="Q16" s="496"/>
      <c r="R16" s="495"/>
      <c r="S16" s="495"/>
      <c r="T16" s="495"/>
      <c r="U16" s="384"/>
      <c r="V16" s="385"/>
      <c r="W16" s="385"/>
      <c r="X16" s="385"/>
      <c r="Y16" s="386"/>
      <c r="Z16" s="269"/>
      <c r="AA16" s="270"/>
      <c r="AB16" s="271"/>
      <c r="AC16" s="198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5" t="s">
        <v>283</v>
      </c>
      <c r="AS16" s="193" t="e">
        <f>61.582*ACOS(SIN(AE14)*SIN(AG14)+COS(AE14)*COS(AG14)*(AE15-AG15))*6076.12</f>
        <v>#VALUE!</v>
      </c>
      <c r="AT16" s="197"/>
      <c r="AU16" s="197"/>
    </row>
    <row r="17" spans="1:47" s="119" customFormat="1" ht="35.1" customHeight="1" thickTop="1" thickBot="1" x14ac:dyDescent="0.3">
      <c r="A17" s="505" t="str">
        <f>IF(Z14=1,"VERIFIED",IF(AA14=1,"RECHECKED",IF(V14=1,"RECHECK",IF(X14=1,"VERIFY",IF(Y14=1,"NEED PMT APP","SANITY CHECK ONLY")))))</f>
        <v>NEED PMT APP</v>
      </c>
      <c r="B17" s="339"/>
      <c r="C17" s="330"/>
      <c r="D17" s="231" t="s">
        <v>192</v>
      </c>
      <c r="E17" s="176" t="s">
        <v>0</v>
      </c>
      <c r="F17" s="179" t="s">
        <v>0</v>
      </c>
      <c r="G17" s="172" t="s">
        <v>0</v>
      </c>
      <c r="H17" s="171" t="s">
        <v>0</v>
      </c>
      <c r="I17" s="179" t="s">
        <v>0</v>
      </c>
      <c r="J17" s="172" t="s">
        <v>0</v>
      </c>
      <c r="K17" s="130" t="str">
        <f>$N$7</f>
        <v xml:space="preserve"> </v>
      </c>
      <c r="L17" s="204" t="str">
        <f>IF(E17=" ","Not being used ",AU14*6076.12)</f>
        <v xml:space="preserve">Not being used </v>
      </c>
      <c r="M17" s="203">
        <v>0</v>
      </c>
      <c r="N17" s="499" t="str">
        <f>IF(W14=1,"Needs a Photo","Has Photo")</f>
        <v>Needs a Photo</v>
      </c>
      <c r="O17" s="228" t="s">
        <v>302</v>
      </c>
      <c r="P17" s="223" t="str">
        <f>IF(E17=" ","Not being used",(IF(L17&gt;O14,"OFF STA","ON STA")))</f>
        <v>Not being used</v>
      </c>
      <c r="Q17" s="497"/>
      <c r="R17" s="498"/>
      <c r="S17" s="498"/>
      <c r="T17" s="498"/>
      <c r="U17" s="387"/>
      <c r="V17" s="388"/>
      <c r="W17" s="388"/>
      <c r="X17" s="388"/>
      <c r="Y17" s="389"/>
      <c r="Z17" s="272"/>
      <c r="AA17" s="273"/>
      <c r="AB17" s="274"/>
      <c r="AC17" s="118"/>
    </row>
    <row r="18" spans="1:47" s="117" customFormat="1" ht="9" customHeight="1" thickTop="1" thickBot="1" x14ac:dyDescent="0.3">
      <c r="A18" s="216" t="s">
        <v>0</v>
      </c>
      <c r="B18" s="131" t="s">
        <v>11</v>
      </c>
      <c r="C18" s="132"/>
      <c r="D18" s="133" t="s">
        <v>12</v>
      </c>
      <c r="E18" s="174" t="s">
        <v>246</v>
      </c>
      <c r="F18" s="174" t="s">
        <v>247</v>
      </c>
      <c r="G18" s="168" t="s">
        <v>248</v>
      </c>
      <c r="H18" s="133" t="s">
        <v>246</v>
      </c>
      <c r="I18" s="174" t="s">
        <v>247</v>
      </c>
      <c r="J18" s="168" t="s">
        <v>248</v>
      </c>
      <c r="K18" s="134" t="s">
        <v>13</v>
      </c>
      <c r="L18" s="135" t="s">
        <v>14</v>
      </c>
      <c r="M18" s="135" t="s">
        <v>17</v>
      </c>
      <c r="N18" s="136" t="s">
        <v>15</v>
      </c>
      <c r="O18" s="137" t="s">
        <v>19</v>
      </c>
      <c r="P18" s="220" t="s">
        <v>256</v>
      </c>
      <c r="Q18" s="140" t="s">
        <v>252</v>
      </c>
      <c r="R18" s="141"/>
      <c r="S18" s="142" t="s">
        <v>191</v>
      </c>
      <c r="T18" s="212"/>
      <c r="U18" s="411" t="s">
        <v>286</v>
      </c>
      <c r="V18" s="412"/>
      <c r="W18" s="412"/>
      <c r="X18" s="412"/>
      <c r="Y18" s="413"/>
      <c r="Z18" s="143" t="s">
        <v>238</v>
      </c>
      <c r="AA18" s="144" t="s">
        <v>239</v>
      </c>
      <c r="AB18" s="145" t="s">
        <v>240</v>
      </c>
      <c r="AC18" s="188"/>
      <c r="AD18" s="189"/>
      <c r="AE18" s="190" t="s">
        <v>266</v>
      </c>
      <c r="AF18" s="189"/>
      <c r="AG18" s="190" t="s">
        <v>267</v>
      </c>
      <c r="AH18" s="190"/>
      <c r="AI18" s="190" t="s">
        <v>268</v>
      </c>
      <c r="AJ18" s="189"/>
      <c r="AK18" s="191" t="s">
        <v>278</v>
      </c>
      <c r="AL18" s="189"/>
      <c r="AM18" s="190"/>
      <c r="AN18" s="189"/>
      <c r="AO18" s="191" t="s">
        <v>275</v>
      </c>
      <c r="AP18" s="189"/>
      <c r="AQ18" s="190"/>
      <c r="AR18" s="189"/>
      <c r="AS18" s="190"/>
      <c r="AT18" s="189"/>
      <c r="AU18" s="189"/>
    </row>
    <row r="19" spans="1:47" s="120" customFormat="1" ht="15.95" customHeight="1" thickBot="1" x14ac:dyDescent="0.3">
      <c r="A19" s="124">
        <v>17915.099999999999</v>
      </c>
      <c r="B19" s="337" t="s">
        <v>303</v>
      </c>
      <c r="C19" s="328" t="s">
        <v>0</v>
      </c>
      <c r="D19" s="230" t="s">
        <v>237</v>
      </c>
      <c r="E19" s="175">
        <v>41</v>
      </c>
      <c r="F19" s="178">
        <v>30</v>
      </c>
      <c r="G19" s="125">
        <v>7.68</v>
      </c>
      <c r="H19" s="160">
        <v>71</v>
      </c>
      <c r="I19" s="178">
        <v>19</v>
      </c>
      <c r="J19" s="125">
        <v>33.479999999999997</v>
      </c>
      <c r="K19" s="392">
        <v>1200</v>
      </c>
      <c r="L19" s="345" t="s">
        <v>309</v>
      </c>
      <c r="M19" s="344">
        <v>18.100000000000001</v>
      </c>
      <c r="N19" s="342">
        <f>IF(M19=" "," ",(M19+$L$7-M22))</f>
        <v>14.600000000000001</v>
      </c>
      <c r="O19" s="340">
        <v>50</v>
      </c>
      <c r="P19" s="394">
        <v>42921</v>
      </c>
      <c r="Q19" s="138" t="s">
        <v>298</v>
      </c>
      <c r="R19" s="139" t="s">
        <v>0</v>
      </c>
      <c r="S19" s="277" t="s">
        <v>304</v>
      </c>
      <c r="T19" s="278"/>
      <c r="U19" s="213">
        <v>1</v>
      </c>
      <c r="V19" s="146">
        <v>1</v>
      </c>
      <c r="W19" s="147" t="s">
        <v>0</v>
      </c>
      <c r="X19" s="148" t="s">
        <v>0</v>
      </c>
      <c r="Y19" s="149" t="s">
        <v>0</v>
      </c>
      <c r="Z19" s="150" t="s">
        <v>0</v>
      </c>
      <c r="AA19" s="146">
        <v>1</v>
      </c>
      <c r="AB19" s="151" t="s">
        <v>0</v>
      </c>
      <c r="AC19" s="192" t="s">
        <v>237</v>
      </c>
      <c r="AD19" s="195" t="s">
        <v>262</v>
      </c>
      <c r="AE19" s="194">
        <f>E19+F19/60+G19/60/60</f>
        <v>41.502133333333333</v>
      </c>
      <c r="AF19" s="195" t="s">
        <v>263</v>
      </c>
      <c r="AG19" s="194">
        <f>E22+F22/60+G22/60/60</f>
        <v>41.502299999999998</v>
      </c>
      <c r="AH19" s="201" t="s">
        <v>269</v>
      </c>
      <c r="AI19" s="194">
        <f>AG19-AE19</f>
        <v>1.66666666665094E-4</v>
      </c>
      <c r="AJ19" s="195" t="s">
        <v>271</v>
      </c>
      <c r="AK19" s="194">
        <f>AI20*60*COS((AE19+AG19)/2*PI()/180)</f>
        <v>2.9957203387588265E-2</v>
      </c>
      <c r="AL19" s="195" t="s">
        <v>273</v>
      </c>
      <c r="AM19" s="194">
        <f>AK19*6076.12</f>
        <v>182.02356264739279</v>
      </c>
      <c r="AN19" s="195" t="s">
        <v>276</v>
      </c>
      <c r="AO19" s="194">
        <f>AE19*PI()/180</f>
        <v>0.72434887326835595</v>
      </c>
      <c r="AP19" s="195" t="s">
        <v>279</v>
      </c>
      <c r="AQ19" s="194">
        <f>AG19 *PI()/180</f>
        <v>0.7243517821504426</v>
      </c>
      <c r="AR19" s="195" t="s">
        <v>281</v>
      </c>
      <c r="AS19" s="194">
        <f>1*ATAN2(COS(AO19)*SIN(AQ19)-SIN(AO19)*COS(AQ19)*COS(AQ20-AO20),SIN(AQ20-AO20)*COS(AQ19))</f>
        <v>-1.2486134010012948</v>
      </c>
      <c r="AT19" s="196" t="s">
        <v>284</v>
      </c>
      <c r="AU19" s="202">
        <f>SQRT(AK20*AK20+AK19*AK19)</f>
        <v>3.158217906990337E-2</v>
      </c>
    </row>
    <row r="20" spans="1:47" s="120" customFormat="1" ht="15.95" customHeight="1" thickTop="1" thickBot="1" x14ac:dyDescent="0.3">
      <c r="A20" s="166">
        <v>100117576611</v>
      </c>
      <c r="B20" s="338"/>
      <c r="C20" s="329"/>
      <c r="D20" s="230" t="s">
        <v>242</v>
      </c>
      <c r="E20" s="325" t="s">
        <v>260</v>
      </c>
      <c r="F20" s="326"/>
      <c r="G20" s="326"/>
      <c r="H20" s="326"/>
      <c r="I20" s="326"/>
      <c r="J20" s="327"/>
      <c r="K20" s="393"/>
      <c r="L20" s="346"/>
      <c r="M20" s="344"/>
      <c r="N20" s="343"/>
      <c r="O20" s="341"/>
      <c r="P20" s="395"/>
      <c r="Q20" s="509" t="s">
        <v>311</v>
      </c>
      <c r="R20" s="510"/>
      <c r="S20" s="510"/>
      <c r="T20" s="510"/>
      <c r="U20" s="410" t="s">
        <v>317</v>
      </c>
      <c r="V20" s="402"/>
      <c r="W20" s="402"/>
      <c r="X20" s="402"/>
      <c r="Y20" s="403"/>
      <c r="Z20" s="266" t="s">
        <v>301</v>
      </c>
      <c r="AA20" s="267"/>
      <c r="AB20" s="268"/>
      <c r="AC20" s="192" t="s">
        <v>192</v>
      </c>
      <c r="AD20" s="195" t="s">
        <v>264</v>
      </c>
      <c r="AE20" s="194">
        <f>H19+I19/60+J19/60/60</f>
        <v>71.325966666666659</v>
      </c>
      <c r="AF20" s="195" t="s">
        <v>265</v>
      </c>
      <c r="AG20" s="194">
        <f>H22+I22/60+J22/60/60</f>
        <v>71.325299999999999</v>
      </c>
      <c r="AH20" s="201" t="s">
        <v>270</v>
      </c>
      <c r="AI20" s="194">
        <f>AE20-AG20</f>
        <v>6.6666666666037599E-4</v>
      </c>
      <c r="AJ20" s="195" t="s">
        <v>272</v>
      </c>
      <c r="AK20" s="194">
        <f>AI19*60</f>
        <v>9.9999999999056399E-3</v>
      </c>
      <c r="AL20" s="195" t="s">
        <v>274</v>
      </c>
      <c r="AM20" s="194">
        <f>AK20*6076.12</f>
        <v>60.761199999426658</v>
      </c>
      <c r="AN20" s="195" t="s">
        <v>277</v>
      </c>
      <c r="AO20" s="194">
        <f>AE20*PI()/180</f>
        <v>1.244872960501058</v>
      </c>
      <c r="AP20" s="195" t="s">
        <v>280</v>
      </c>
      <c r="AQ20" s="194">
        <f>AG20*PI()/180</f>
        <v>1.2448613249727116</v>
      </c>
      <c r="AR20" s="195" t="s">
        <v>282</v>
      </c>
      <c r="AS20" s="193">
        <f>IF(360+AS19/(2*PI())*360&gt;360,AS19/(PI())*360,360+AS19/(2*PI())*360)</f>
        <v>288.45972187914998</v>
      </c>
      <c r="AT20" s="197"/>
      <c r="AU20" s="197"/>
    </row>
    <row r="21" spans="1:47" s="120" customFormat="1" ht="15.95" customHeight="1" thickBot="1" x14ac:dyDescent="0.3">
      <c r="A21" s="164">
        <v>3</v>
      </c>
      <c r="B21" s="338"/>
      <c r="C21" s="329"/>
      <c r="D21" s="230" t="s">
        <v>243</v>
      </c>
      <c r="E21" s="334" t="s">
        <v>259</v>
      </c>
      <c r="F21" s="335"/>
      <c r="G21" s="335"/>
      <c r="H21" s="335"/>
      <c r="I21" s="335"/>
      <c r="J21" s="336"/>
      <c r="K21" s="251" t="s">
        <v>16</v>
      </c>
      <c r="L21" s="252" t="s">
        <v>285</v>
      </c>
      <c r="M21" s="253" t="s">
        <v>250</v>
      </c>
      <c r="N21" s="128" t="s">
        <v>4</v>
      </c>
      <c r="O21" s="129" t="s">
        <v>18</v>
      </c>
      <c r="P21" s="221" t="s">
        <v>188</v>
      </c>
      <c r="Q21" s="511"/>
      <c r="R21" s="510"/>
      <c r="S21" s="510"/>
      <c r="T21" s="510"/>
      <c r="U21" s="404"/>
      <c r="V21" s="405"/>
      <c r="W21" s="405"/>
      <c r="X21" s="405"/>
      <c r="Y21" s="406"/>
      <c r="Z21" s="269"/>
      <c r="AA21" s="270"/>
      <c r="AB21" s="271"/>
      <c r="AC21" s="198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5" t="s">
        <v>283</v>
      </c>
      <c r="AS21" s="193">
        <f>61.582*ACOS(SIN(AE19)*SIN(AG19)+COS(AE19)*COS(AG19)*(AE20-AG20))*6076.12</f>
        <v>442798.58440616034</v>
      </c>
      <c r="AT21" s="197"/>
      <c r="AU21" s="197"/>
    </row>
    <row r="22" spans="1:47" s="119" customFormat="1" ht="35.1" customHeight="1" thickTop="1" thickBot="1" x14ac:dyDescent="0.3">
      <c r="A22" s="506" t="str">
        <f>IF(Z19=1,"VERIFIED",IF(AA19=1,"RECHECKED",IF(V19=1,"RECHECK",IF(X19=1,"VERIFY",IF(Y19=1,"NEED PMT APP","SANITY CHECK ONLY")))))</f>
        <v>RECHECKED</v>
      </c>
      <c r="B22" s="339"/>
      <c r="C22" s="330"/>
      <c r="D22" s="231" t="s">
        <v>192</v>
      </c>
      <c r="E22" s="176">
        <v>41</v>
      </c>
      <c r="F22" s="179">
        <v>30</v>
      </c>
      <c r="G22" s="172">
        <v>8.2799999999999994</v>
      </c>
      <c r="H22" s="171">
        <v>71</v>
      </c>
      <c r="I22" s="179">
        <v>19</v>
      </c>
      <c r="J22" s="172">
        <v>31.08</v>
      </c>
      <c r="K22" s="254">
        <v>43202</v>
      </c>
      <c r="L22" s="204">
        <f>IF(E22=" ","Not being used ",AU19*6076.12)</f>
        <v>191.89710989022126</v>
      </c>
      <c r="M22" s="255">
        <v>3.5</v>
      </c>
      <c r="N22" s="227" t="str">
        <f>IF(W19=1,"Need Photo","Has Photo")</f>
        <v>Has Photo</v>
      </c>
      <c r="O22" s="228" t="s">
        <v>258</v>
      </c>
      <c r="P22" s="223" t="str">
        <f>IF(E22=" ","Not being used",(IF(L22&gt;O19,"OFF STA","ON STA")))</f>
        <v>OFF STA</v>
      </c>
      <c r="Q22" s="512"/>
      <c r="R22" s="513"/>
      <c r="S22" s="513"/>
      <c r="T22" s="513"/>
      <c r="U22" s="407"/>
      <c r="V22" s="408"/>
      <c r="W22" s="408"/>
      <c r="X22" s="408"/>
      <c r="Y22" s="409"/>
      <c r="Z22" s="272"/>
      <c r="AA22" s="273"/>
      <c r="AB22" s="274"/>
      <c r="AC22" s="118"/>
    </row>
    <row r="23" spans="1:47" s="117" customFormat="1" ht="9" customHeight="1" thickTop="1" thickBot="1" x14ac:dyDescent="0.3">
      <c r="A23" s="216" t="s">
        <v>0</v>
      </c>
      <c r="B23" s="131" t="s">
        <v>11</v>
      </c>
      <c r="C23" s="132"/>
      <c r="D23" s="133" t="s">
        <v>12</v>
      </c>
      <c r="E23" s="174" t="s">
        <v>246</v>
      </c>
      <c r="F23" s="174" t="s">
        <v>247</v>
      </c>
      <c r="G23" s="168" t="s">
        <v>248</v>
      </c>
      <c r="H23" s="133" t="s">
        <v>246</v>
      </c>
      <c r="I23" s="174" t="s">
        <v>247</v>
      </c>
      <c r="J23" s="168" t="s">
        <v>248</v>
      </c>
      <c r="K23" s="134" t="s">
        <v>13</v>
      </c>
      <c r="L23" s="135" t="s">
        <v>14</v>
      </c>
      <c r="M23" s="135" t="s">
        <v>17</v>
      </c>
      <c r="N23" s="136" t="s">
        <v>15</v>
      </c>
      <c r="O23" s="137" t="s">
        <v>19</v>
      </c>
      <c r="P23" s="220" t="s">
        <v>256</v>
      </c>
      <c r="Q23" s="140" t="s">
        <v>252</v>
      </c>
      <c r="R23" s="141"/>
      <c r="S23" s="142" t="s">
        <v>191</v>
      </c>
      <c r="T23" s="212"/>
      <c r="U23" s="411" t="s">
        <v>286</v>
      </c>
      <c r="V23" s="412"/>
      <c r="W23" s="412"/>
      <c r="X23" s="412"/>
      <c r="Y23" s="413"/>
      <c r="Z23" s="143" t="s">
        <v>238</v>
      </c>
      <c r="AA23" s="144" t="s">
        <v>239</v>
      </c>
      <c r="AB23" s="145" t="s">
        <v>240</v>
      </c>
      <c r="AC23" s="188"/>
      <c r="AD23" s="189"/>
      <c r="AE23" s="190" t="s">
        <v>266</v>
      </c>
      <c r="AF23" s="189"/>
      <c r="AG23" s="190" t="s">
        <v>267</v>
      </c>
      <c r="AH23" s="190"/>
      <c r="AI23" s="190" t="s">
        <v>268</v>
      </c>
      <c r="AJ23" s="189"/>
      <c r="AK23" s="191" t="s">
        <v>278</v>
      </c>
      <c r="AL23" s="189"/>
      <c r="AM23" s="190"/>
      <c r="AN23" s="189"/>
      <c r="AO23" s="191" t="s">
        <v>275</v>
      </c>
      <c r="AP23" s="189"/>
      <c r="AQ23" s="190"/>
      <c r="AR23" s="189"/>
      <c r="AS23" s="190"/>
      <c r="AT23" s="189"/>
      <c r="AU23" s="189"/>
    </row>
    <row r="24" spans="1:47" s="120" customFormat="1" ht="15.95" customHeight="1" thickBot="1" x14ac:dyDescent="0.3">
      <c r="A24" s="124">
        <v>17915.2</v>
      </c>
      <c r="B24" s="337" t="s">
        <v>305</v>
      </c>
      <c r="C24" s="328" t="s">
        <v>0</v>
      </c>
      <c r="D24" s="230" t="s">
        <v>237</v>
      </c>
      <c r="E24" s="175">
        <v>41</v>
      </c>
      <c r="F24" s="178">
        <v>30</v>
      </c>
      <c r="G24" s="125">
        <v>13.86</v>
      </c>
      <c r="H24" s="160">
        <v>71</v>
      </c>
      <c r="I24" s="178">
        <v>19</v>
      </c>
      <c r="J24" s="125">
        <v>28.74</v>
      </c>
      <c r="K24" s="392">
        <v>1200</v>
      </c>
      <c r="L24" s="345" t="s">
        <v>309</v>
      </c>
      <c r="M24" s="344">
        <v>17</v>
      </c>
      <c r="N24" s="342">
        <f>IF(M24=" "," ",(M24+$L$7-M27))</f>
        <v>13.5</v>
      </c>
      <c r="O24" s="340">
        <v>50</v>
      </c>
      <c r="P24" s="394">
        <v>42921</v>
      </c>
      <c r="Q24" s="138" t="s">
        <v>298</v>
      </c>
      <c r="R24" s="139" t="s">
        <v>0</v>
      </c>
      <c r="S24" s="277" t="s">
        <v>304</v>
      </c>
      <c r="T24" s="278"/>
      <c r="U24" s="213">
        <v>1</v>
      </c>
      <c r="V24" s="146">
        <v>1</v>
      </c>
      <c r="W24" s="147" t="s">
        <v>0</v>
      </c>
      <c r="X24" s="148" t="s">
        <v>0</v>
      </c>
      <c r="Y24" s="149" t="s">
        <v>0</v>
      </c>
      <c r="Z24" s="150" t="s">
        <v>0</v>
      </c>
      <c r="AA24" s="146">
        <v>1</v>
      </c>
      <c r="AB24" s="151" t="s">
        <v>0</v>
      </c>
      <c r="AC24" s="192" t="s">
        <v>237</v>
      </c>
      <c r="AD24" s="195" t="s">
        <v>262</v>
      </c>
      <c r="AE24" s="194">
        <f>E24+F24/60+G24/60/60</f>
        <v>41.50385</v>
      </c>
      <c r="AF24" s="195" t="s">
        <v>263</v>
      </c>
      <c r="AG24" s="194">
        <f>E27+F27/60+G27/60/60</f>
        <v>41.504550000000002</v>
      </c>
      <c r="AH24" s="201" t="s">
        <v>269</v>
      </c>
      <c r="AI24" s="194">
        <f>AG24-AE24</f>
        <v>7.0000000000192131E-4</v>
      </c>
      <c r="AJ24" s="195" t="s">
        <v>271</v>
      </c>
      <c r="AK24" s="194">
        <f>AI25*60*COS((AE24+AG24)/2*PI()/180)</f>
        <v>-2.2467214386457136E-3</v>
      </c>
      <c r="AL24" s="195" t="s">
        <v>273</v>
      </c>
      <c r="AM24" s="194">
        <f>AK24*6076.12</f>
        <v>-13.651349067783993</v>
      </c>
      <c r="AN24" s="195" t="s">
        <v>276</v>
      </c>
      <c r="AO24" s="194">
        <f>AE24*PI()/180</f>
        <v>0.72437883475384857</v>
      </c>
      <c r="AP24" s="195" t="s">
        <v>279</v>
      </c>
      <c r="AQ24" s="194">
        <f>AG24 *PI()/180</f>
        <v>0.72439105205861254</v>
      </c>
      <c r="AR24" s="195" t="s">
        <v>281</v>
      </c>
      <c r="AS24" s="194">
        <f>1*ATAN2(COS(AO24)*SIN(AQ24)-SIN(AO24)*COS(AQ24)*COS(AQ25-AO25),SIN(AQ25-AO25)*COS(AQ24))</f>
        <v>5.3442141395499652E-2</v>
      </c>
      <c r="AT24" s="196" t="s">
        <v>284</v>
      </c>
      <c r="AU24" s="202">
        <f>SQRT(AK25*AK25+AK24*AK24)</f>
        <v>4.2060049420234322E-2</v>
      </c>
    </row>
    <row r="25" spans="1:47" s="120" customFormat="1" ht="15.95" customHeight="1" thickTop="1" thickBot="1" x14ac:dyDescent="0.3">
      <c r="A25" s="166">
        <v>100117576616</v>
      </c>
      <c r="B25" s="338"/>
      <c r="C25" s="329"/>
      <c r="D25" s="230" t="s">
        <v>242</v>
      </c>
      <c r="E25" s="325" t="s">
        <v>260</v>
      </c>
      <c r="F25" s="326"/>
      <c r="G25" s="326"/>
      <c r="H25" s="326"/>
      <c r="I25" s="326"/>
      <c r="J25" s="327"/>
      <c r="K25" s="393"/>
      <c r="L25" s="346"/>
      <c r="M25" s="344"/>
      <c r="N25" s="343"/>
      <c r="O25" s="341"/>
      <c r="P25" s="395"/>
      <c r="Q25" s="509" t="s">
        <v>312</v>
      </c>
      <c r="R25" s="510"/>
      <c r="S25" s="510"/>
      <c r="T25" s="510"/>
      <c r="U25" s="410" t="s">
        <v>317</v>
      </c>
      <c r="V25" s="402"/>
      <c r="W25" s="402"/>
      <c r="X25" s="402"/>
      <c r="Y25" s="403"/>
      <c r="Z25" s="266" t="s">
        <v>301</v>
      </c>
      <c r="AA25" s="267"/>
      <c r="AB25" s="268"/>
      <c r="AC25" s="192" t="s">
        <v>192</v>
      </c>
      <c r="AD25" s="195" t="s">
        <v>264</v>
      </c>
      <c r="AE25" s="194">
        <f>H24+I24/60+J24/60/60</f>
        <v>71.324649999999991</v>
      </c>
      <c r="AF25" s="195" t="s">
        <v>265</v>
      </c>
      <c r="AG25" s="194">
        <f>H27+I27/60+J27/60/60</f>
        <v>71.324699999999993</v>
      </c>
      <c r="AH25" s="201" t="s">
        <v>270</v>
      </c>
      <c r="AI25" s="194">
        <f>AE25-AG25</f>
        <v>-5.0000000001659828E-5</v>
      </c>
      <c r="AJ25" s="195" t="s">
        <v>272</v>
      </c>
      <c r="AK25" s="194">
        <f>AI24*60</f>
        <v>4.2000000000115278E-2</v>
      </c>
      <c r="AL25" s="195" t="s">
        <v>274</v>
      </c>
      <c r="AM25" s="194">
        <f>AK25*6076.12</f>
        <v>255.19704000070044</v>
      </c>
      <c r="AN25" s="195" t="s">
        <v>277</v>
      </c>
      <c r="AO25" s="194">
        <f>AE25*PI()/180</f>
        <v>1.2448499803325734</v>
      </c>
      <c r="AP25" s="195" t="s">
        <v>280</v>
      </c>
      <c r="AQ25" s="194">
        <f>AG25*PI()/180</f>
        <v>1.2448508529971996</v>
      </c>
      <c r="AR25" s="195" t="s">
        <v>282</v>
      </c>
      <c r="AS25" s="193">
        <f>IF(360+AS24/(2*PI())*360&gt;360,AS24/(PI())*360,360+AS24/(2*PI())*360)</f>
        <v>6.1240183002070347</v>
      </c>
      <c r="AT25" s="197"/>
      <c r="AU25" s="197"/>
    </row>
    <row r="26" spans="1:47" s="120" customFormat="1" ht="15.95" customHeight="1" thickBot="1" x14ac:dyDescent="0.3">
      <c r="A26" s="164">
        <v>4</v>
      </c>
      <c r="B26" s="338"/>
      <c r="C26" s="329"/>
      <c r="D26" s="230" t="s">
        <v>243</v>
      </c>
      <c r="E26" s="334" t="s">
        <v>259</v>
      </c>
      <c r="F26" s="335"/>
      <c r="G26" s="335"/>
      <c r="H26" s="335"/>
      <c r="I26" s="335"/>
      <c r="J26" s="336"/>
      <c r="K26" s="251" t="s">
        <v>16</v>
      </c>
      <c r="L26" s="252" t="s">
        <v>285</v>
      </c>
      <c r="M26" s="253" t="s">
        <v>250</v>
      </c>
      <c r="N26" s="128" t="s">
        <v>4</v>
      </c>
      <c r="O26" s="129" t="s">
        <v>18</v>
      </c>
      <c r="P26" s="221" t="s">
        <v>188</v>
      </c>
      <c r="Q26" s="511"/>
      <c r="R26" s="510"/>
      <c r="S26" s="510"/>
      <c r="T26" s="510"/>
      <c r="U26" s="404"/>
      <c r="V26" s="405"/>
      <c r="W26" s="405"/>
      <c r="X26" s="405"/>
      <c r="Y26" s="406"/>
      <c r="Z26" s="269"/>
      <c r="AA26" s="270"/>
      <c r="AB26" s="271"/>
      <c r="AC26" s="198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5" t="s">
        <v>283</v>
      </c>
      <c r="AS26" s="193">
        <f>61.582*ACOS(SIN(AE24)*SIN(AG24)+COS(AE24)*COS(AG24)*(AE25-AG25))*6076.12</f>
        <v>442201.29121701937</v>
      </c>
      <c r="AT26" s="197"/>
      <c r="AU26" s="197"/>
    </row>
    <row r="27" spans="1:47" s="119" customFormat="1" ht="35.1" customHeight="1" thickTop="1" thickBot="1" x14ac:dyDescent="0.3">
      <c r="A27" s="506" t="str">
        <f>IF(Z24=1,"VERIFIED",IF(AA24=1,"RECHECKED",IF(V24=1,"RECHECK",IF(X24=1,"VERIFY",IF(Y24=1,"NEED PMT APP","SANITY CHECK ONLY")))))</f>
        <v>RECHECKED</v>
      </c>
      <c r="B27" s="339"/>
      <c r="C27" s="330"/>
      <c r="D27" s="231" t="s">
        <v>192</v>
      </c>
      <c r="E27" s="176">
        <v>41</v>
      </c>
      <c r="F27" s="179">
        <v>30</v>
      </c>
      <c r="G27" s="172">
        <v>16.38</v>
      </c>
      <c r="H27" s="171">
        <v>71</v>
      </c>
      <c r="I27" s="179">
        <v>19</v>
      </c>
      <c r="J27" s="172">
        <v>28.92</v>
      </c>
      <c r="K27" s="254">
        <v>43202</v>
      </c>
      <c r="L27" s="204">
        <f>IF(E27=" ","Not being used ",AU24*6076.12)</f>
        <v>255.56190748327415</v>
      </c>
      <c r="M27" s="255">
        <v>3.5</v>
      </c>
      <c r="N27" s="152" t="str">
        <f>IF(W24=1,"Need Photo","Has Photo")</f>
        <v>Has Photo</v>
      </c>
      <c r="O27" s="165" t="s">
        <v>258</v>
      </c>
      <c r="P27" s="223" t="str">
        <f>IF(E27=" ","Not being used",(IF(L27&gt;O24,"OFF STA","ON STA")))</f>
        <v>OFF STA</v>
      </c>
      <c r="Q27" s="512"/>
      <c r="R27" s="513"/>
      <c r="S27" s="513"/>
      <c r="T27" s="513"/>
      <c r="U27" s="407"/>
      <c r="V27" s="408"/>
      <c r="W27" s="408"/>
      <c r="X27" s="408"/>
      <c r="Y27" s="409"/>
      <c r="Z27" s="272"/>
      <c r="AA27" s="273"/>
      <c r="AB27" s="274"/>
      <c r="AC27" s="118"/>
    </row>
    <row r="28" spans="1:47" s="117" customFormat="1" ht="9" customHeight="1" thickTop="1" thickBot="1" x14ac:dyDescent="0.3">
      <c r="A28" s="210"/>
      <c r="B28" s="131" t="s">
        <v>11</v>
      </c>
      <c r="C28" s="132"/>
      <c r="D28" s="133" t="s">
        <v>12</v>
      </c>
      <c r="E28" s="174" t="s">
        <v>246</v>
      </c>
      <c r="F28" s="174" t="s">
        <v>247</v>
      </c>
      <c r="G28" s="168" t="s">
        <v>248</v>
      </c>
      <c r="H28" s="133" t="s">
        <v>246</v>
      </c>
      <c r="I28" s="174" t="s">
        <v>247</v>
      </c>
      <c r="J28" s="168" t="s">
        <v>248</v>
      </c>
      <c r="K28" s="134" t="s">
        <v>13</v>
      </c>
      <c r="L28" s="135" t="s">
        <v>14</v>
      </c>
      <c r="M28" s="135" t="s">
        <v>295</v>
      </c>
      <c r="N28" s="136" t="s">
        <v>15</v>
      </c>
      <c r="O28" s="137" t="s">
        <v>19</v>
      </c>
      <c r="P28" s="220" t="s">
        <v>256</v>
      </c>
      <c r="Q28" s="140" t="s">
        <v>252</v>
      </c>
      <c r="R28" s="141"/>
      <c r="S28" s="142" t="s">
        <v>257</v>
      </c>
      <c r="T28" s="212"/>
      <c r="U28" s="411" t="s">
        <v>286</v>
      </c>
      <c r="V28" s="412"/>
      <c r="W28" s="412"/>
      <c r="X28" s="412"/>
      <c r="Y28" s="413"/>
      <c r="Z28" s="143" t="s">
        <v>238</v>
      </c>
      <c r="AA28" s="144" t="s">
        <v>239</v>
      </c>
      <c r="AB28" s="145" t="s">
        <v>240</v>
      </c>
      <c r="AC28" s="188"/>
      <c r="AD28" s="189"/>
      <c r="AE28" s="190" t="s">
        <v>266</v>
      </c>
      <c r="AF28" s="189"/>
      <c r="AG28" s="190" t="s">
        <v>267</v>
      </c>
      <c r="AH28" s="190"/>
      <c r="AI28" s="190" t="s">
        <v>268</v>
      </c>
      <c r="AJ28" s="189"/>
      <c r="AK28" s="191" t="s">
        <v>278</v>
      </c>
      <c r="AL28" s="189"/>
      <c r="AM28" s="190"/>
      <c r="AN28" s="189"/>
      <c r="AO28" s="191" t="s">
        <v>275</v>
      </c>
      <c r="AP28" s="189"/>
      <c r="AQ28" s="190"/>
      <c r="AR28" s="189"/>
      <c r="AS28" s="190"/>
      <c r="AT28" s="189"/>
      <c r="AU28" s="189"/>
    </row>
    <row r="29" spans="1:47" s="120" customFormat="1" ht="15.95" customHeight="1" thickBot="1" x14ac:dyDescent="0.3">
      <c r="A29" s="124">
        <v>17915.3</v>
      </c>
      <c r="B29" s="337" t="s">
        <v>306</v>
      </c>
      <c r="C29" s="328" t="s">
        <v>0</v>
      </c>
      <c r="D29" s="230" t="s">
        <v>237</v>
      </c>
      <c r="E29" s="175">
        <v>41</v>
      </c>
      <c r="F29" s="178">
        <v>30</v>
      </c>
      <c r="G29" s="125">
        <v>22</v>
      </c>
      <c r="H29" s="160">
        <v>71</v>
      </c>
      <c r="I29" s="178">
        <v>19</v>
      </c>
      <c r="J29" s="125">
        <v>29.4</v>
      </c>
      <c r="K29" s="392">
        <v>1200</v>
      </c>
      <c r="L29" s="345" t="s">
        <v>309</v>
      </c>
      <c r="M29" s="344">
        <v>9.8000000000000007</v>
      </c>
      <c r="N29" s="342">
        <f>IF(M29=" "," ",(M29+$L$7-M32))</f>
        <v>9.8000000000000007</v>
      </c>
      <c r="O29" s="340">
        <v>50</v>
      </c>
      <c r="P29" s="394">
        <v>42921</v>
      </c>
      <c r="Q29" s="138" t="s">
        <v>298</v>
      </c>
      <c r="R29" s="139" t="s">
        <v>0</v>
      </c>
      <c r="S29" s="277" t="s">
        <v>257</v>
      </c>
      <c r="T29" s="278"/>
      <c r="U29" s="213">
        <v>1</v>
      </c>
      <c r="V29" s="146">
        <v>1</v>
      </c>
      <c r="W29" s="147" t="s">
        <v>0</v>
      </c>
      <c r="X29" s="148" t="s">
        <v>0</v>
      </c>
      <c r="Y29" s="149" t="s">
        <v>0</v>
      </c>
      <c r="Z29" s="150" t="s">
        <v>0</v>
      </c>
      <c r="AA29" s="146">
        <v>1</v>
      </c>
      <c r="AB29" s="151" t="s">
        <v>0</v>
      </c>
      <c r="AC29" s="192" t="s">
        <v>237</v>
      </c>
      <c r="AD29" s="195" t="s">
        <v>262</v>
      </c>
      <c r="AE29" s="194">
        <f>E29+F29/60+G29/60/60</f>
        <v>41.50611111111111</v>
      </c>
      <c r="AF29" s="195" t="s">
        <v>263</v>
      </c>
      <c r="AG29" s="194" t="e">
        <f>E32+F32/60+G32/60/60</f>
        <v>#VALUE!</v>
      </c>
      <c r="AH29" s="201" t="s">
        <v>269</v>
      </c>
      <c r="AI29" s="194" t="e">
        <f>AG29-AE29</f>
        <v>#VALUE!</v>
      </c>
      <c r="AJ29" s="195" t="s">
        <v>271</v>
      </c>
      <c r="AK29" s="194" t="e">
        <f>AI30*60*COS((AE29+AG29)/2*PI()/180)</f>
        <v>#VALUE!</v>
      </c>
      <c r="AL29" s="195" t="s">
        <v>273</v>
      </c>
      <c r="AM29" s="194" t="e">
        <f>AK29*6076.12</f>
        <v>#VALUE!</v>
      </c>
      <c r="AN29" s="195" t="s">
        <v>276</v>
      </c>
      <c r="AO29" s="194">
        <f>AE29*PI()/180</f>
        <v>0.72441829858749085</v>
      </c>
      <c r="AP29" s="195" t="s">
        <v>279</v>
      </c>
      <c r="AQ29" s="194" t="e">
        <f>AG29 *PI()/180</f>
        <v>#VALUE!</v>
      </c>
      <c r="AR29" s="195" t="s">
        <v>281</v>
      </c>
      <c r="AS29" s="194" t="e">
        <f>1*ATAN2(COS(AO29)*SIN(AQ29)-SIN(AO29)*COS(AQ29)*COS(AQ30-AO30),SIN(AQ30-AO30)*COS(AQ29))</f>
        <v>#VALUE!</v>
      </c>
      <c r="AT29" s="196" t="s">
        <v>284</v>
      </c>
      <c r="AU29" s="202" t="e">
        <f>SQRT(AK30*AK30+AK29*AK29)</f>
        <v>#VALUE!</v>
      </c>
    </row>
    <row r="30" spans="1:47" s="120" customFormat="1" ht="15.95" customHeight="1" thickTop="1" thickBot="1" x14ac:dyDescent="0.3">
      <c r="A30" s="166">
        <v>100117476620</v>
      </c>
      <c r="B30" s="338"/>
      <c r="C30" s="329"/>
      <c r="D30" s="230" t="s">
        <v>242</v>
      </c>
      <c r="E30" s="325" t="s">
        <v>260</v>
      </c>
      <c r="F30" s="326"/>
      <c r="G30" s="326"/>
      <c r="H30" s="326"/>
      <c r="I30" s="326"/>
      <c r="J30" s="327"/>
      <c r="K30" s="393"/>
      <c r="L30" s="346"/>
      <c r="M30" s="344"/>
      <c r="N30" s="343"/>
      <c r="O30" s="341"/>
      <c r="P30" s="395"/>
      <c r="Q30" s="509" t="s">
        <v>313</v>
      </c>
      <c r="R30" s="510"/>
      <c r="S30" s="510"/>
      <c r="T30" s="510"/>
      <c r="U30" s="410" t="s">
        <v>317</v>
      </c>
      <c r="V30" s="402"/>
      <c r="W30" s="402"/>
      <c r="X30" s="402"/>
      <c r="Y30" s="403"/>
      <c r="Z30" s="266" t="s">
        <v>301</v>
      </c>
      <c r="AA30" s="267"/>
      <c r="AB30" s="268"/>
      <c r="AC30" s="192" t="s">
        <v>192</v>
      </c>
      <c r="AD30" s="195" t="s">
        <v>264</v>
      </c>
      <c r="AE30" s="194">
        <f>H29+I29/60+J29/60/60</f>
        <v>71.324833333333331</v>
      </c>
      <c r="AF30" s="195" t="s">
        <v>265</v>
      </c>
      <c r="AG30" s="194" t="e">
        <f>H32+I32/60+J32/60/60</f>
        <v>#VALUE!</v>
      </c>
      <c r="AH30" s="201" t="s">
        <v>270</v>
      </c>
      <c r="AI30" s="194" t="e">
        <f>AE30-AG30</f>
        <v>#VALUE!</v>
      </c>
      <c r="AJ30" s="195" t="s">
        <v>272</v>
      </c>
      <c r="AK30" s="194" t="e">
        <f>AI29*60</f>
        <v>#VALUE!</v>
      </c>
      <c r="AL30" s="195" t="s">
        <v>274</v>
      </c>
      <c r="AM30" s="194" t="e">
        <f>AK30*6076.12</f>
        <v>#VALUE!</v>
      </c>
      <c r="AN30" s="195" t="s">
        <v>277</v>
      </c>
      <c r="AO30" s="194">
        <f>AE30*PI()/180</f>
        <v>1.2448531801028688</v>
      </c>
      <c r="AP30" s="195" t="s">
        <v>280</v>
      </c>
      <c r="AQ30" s="194" t="e">
        <f>AG30*PI()/180</f>
        <v>#VALUE!</v>
      </c>
      <c r="AR30" s="195" t="s">
        <v>282</v>
      </c>
      <c r="AS30" s="193" t="e">
        <f>IF(360+AS29/(2*PI())*360&gt;360,AS29/(PI())*360,360+AS29/(2*PI())*360)</f>
        <v>#VALUE!</v>
      </c>
      <c r="AT30" s="197"/>
      <c r="AU30" s="197"/>
    </row>
    <row r="31" spans="1:47" s="120" customFormat="1" ht="15.95" customHeight="1" thickBot="1" x14ac:dyDescent="0.3">
      <c r="A31" s="164">
        <v>5</v>
      </c>
      <c r="B31" s="338"/>
      <c r="C31" s="329"/>
      <c r="D31" s="230" t="s">
        <v>243</v>
      </c>
      <c r="E31" s="334" t="s">
        <v>259</v>
      </c>
      <c r="F31" s="335"/>
      <c r="G31" s="335"/>
      <c r="H31" s="335"/>
      <c r="I31" s="335"/>
      <c r="J31" s="336"/>
      <c r="K31" s="251" t="s">
        <v>16</v>
      </c>
      <c r="L31" s="252" t="s">
        <v>285</v>
      </c>
      <c r="M31" s="253" t="s">
        <v>250</v>
      </c>
      <c r="N31" s="128" t="s">
        <v>4</v>
      </c>
      <c r="O31" s="129" t="s">
        <v>18</v>
      </c>
      <c r="P31" s="221" t="s">
        <v>188</v>
      </c>
      <c r="Q31" s="511"/>
      <c r="R31" s="510"/>
      <c r="S31" s="510"/>
      <c r="T31" s="510"/>
      <c r="U31" s="404"/>
      <c r="V31" s="405"/>
      <c r="W31" s="405"/>
      <c r="X31" s="405"/>
      <c r="Y31" s="406"/>
      <c r="Z31" s="269"/>
      <c r="AA31" s="270"/>
      <c r="AB31" s="271"/>
      <c r="AC31" s="198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5" t="s">
        <v>283</v>
      </c>
      <c r="AS31" s="193" t="e">
        <f>61.582*ACOS(SIN(AE29)*SIN(AG29)+COS(AE29)*COS(AG29)*(AE30-AG30))*6076.12</f>
        <v>#VALUE!</v>
      </c>
      <c r="AT31" s="197"/>
      <c r="AU31" s="197"/>
    </row>
    <row r="32" spans="1:47" s="119" customFormat="1" ht="35.1" customHeight="1" thickTop="1" thickBot="1" x14ac:dyDescent="0.3">
      <c r="A32" s="506" t="str">
        <f>IF(Z29=1,"VERIFIED",IF(AA29=1,"RECHECKED",IF(V29=1,"RECHECK",IF(X29=1,"VERIFY",IF(Y29=1,"NEED PMT APP","SANITY CHECK ONLY")))))</f>
        <v>RECHECKED</v>
      </c>
      <c r="B32" s="339"/>
      <c r="C32" s="330"/>
      <c r="D32" s="231" t="s">
        <v>192</v>
      </c>
      <c r="E32" s="176" t="s">
        <v>0</v>
      </c>
      <c r="F32" s="179" t="s">
        <v>0</v>
      </c>
      <c r="G32" s="172" t="s">
        <v>0</v>
      </c>
      <c r="H32" s="171" t="s">
        <v>0</v>
      </c>
      <c r="I32" s="179" t="s">
        <v>0</v>
      </c>
      <c r="J32" s="172" t="s">
        <v>0</v>
      </c>
      <c r="K32" s="254">
        <v>43202</v>
      </c>
      <c r="L32" s="204" t="str">
        <f>IF(E32=" ","Not being used ",AU29*6076.12)</f>
        <v xml:space="preserve">Not being used </v>
      </c>
      <c r="M32" s="255">
        <v>0</v>
      </c>
      <c r="N32" s="152" t="str">
        <f>IF(W29=1,"Need Photo","Has Photo")</f>
        <v>Has Photo</v>
      </c>
      <c r="O32" s="165" t="s">
        <v>258</v>
      </c>
      <c r="P32" s="223" t="str">
        <f>IF(E32=" ","Not being used",(IF(L32&gt;O29,"OFF STA","ON STA")))</f>
        <v>Not being used</v>
      </c>
      <c r="Q32" s="512"/>
      <c r="R32" s="513"/>
      <c r="S32" s="513"/>
      <c r="T32" s="513"/>
      <c r="U32" s="407"/>
      <c r="V32" s="408"/>
      <c r="W32" s="408"/>
      <c r="X32" s="408"/>
      <c r="Y32" s="409"/>
      <c r="Z32" s="272"/>
      <c r="AA32" s="273"/>
      <c r="AB32" s="274"/>
      <c r="AC32" s="118"/>
    </row>
    <row r="33" spans="1:47" s="119" customFormat="1" ht="78" customHeight="1" thickTop="1" thickBot="1" x14ac:dyDescent="0.3">
      <c r="A33" s="507" t="s">
        <v>293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323" t="s">
        <v>287</v>
      </c>
      <c r="M33" s="324"/>
      <c r="N33" s="324"/>
      <c r="O33" s="324"/>
      <c r="P33" s="324"/>
      <c r="Q33" s="324"/>
      <c r="R33" s="324"/>
      <c r="S33" s="324"/>
      <c r="T33" s="324"/>
      <c r="U33" s="214"/>
      <c r="V33" s="158"/>
      <c r="W33" s="158"/>
      <c r="X33" s="158"/>
      <c r="Y33" s="159"/>
      <c r="Z33" s="155"/>
      <c r="AA33" s="156"/>
      <c r="AB33" s="157"/>
      <c r="AC33" s="118"/>
    </row>
    <row r="34" spans="1:47" s="7" customFormat="1" ht="16.5" customHeight="1" thickTop="1" thickBot="1" x14ac:dyDescent="0.3">
      <c r="A34" s="232" t="s">
        <v>255</v>
      </c>
      <c r="B34" s="233" t="s">
        <v>0</v>
      </c>
      <c r="C34" s="234"/>
      <c r="D34" s="235"/>
      <c r="E34" s="236" t="s">
        <v>249</v>
      </c>
      <c r="F34" s="237"/>
      <c r="G34" s="238"/>
      <c r="H34" s="239" t="s">
        <v>251</v>
      </c>
      <c r="I34" s="237"/>
      <c r="J34" s="238"/>
      <c r="K34" s="240" t="s">
        <v>0</v>
      </c>
      <c r="L34" s="241" t="s">
        <v>0</v>
      </c>
      <c r="M34" s="242" t="s">
        <v>0</v>
      </c>
      <c r="N34" s="243" t="s">
        <v>0</v>
      </c>
      <c r="O34" s="244"/>
      <c r="P34" s="276" t="str">
        <f>P7</f>
        <v>D07 - C5 - Coasters Harbor Run</v>
      </c>
      <c r="Q34" s="276"/>
      <c r="R34" s="276"/>
      <c r="S34" s="276"/>
      <c r="T34" s="276"/>
      <c r="U34" s="245"/>
      <c r="V34" s="246"/>
      <c r="W34" s="247"/>
      <c r="X34" s="248"/>
      <c r="Y34" s="246"/>
      <c r="Z34" s="248"/>
      <c r="AA34" s="246"/>
      <c r="AB34" s="249"/>
      <c r="AC34" s="8"/>
    </row>
    <row r="35" spans="1:47" s="117" customFormat="1" ht="9" customHeight="1" thickTop="1" thickBot="1" x14ac:dyDescent="0.3">
      <c r="A35" s="210"/>
      <c r="B35" s="131" t="s">
        <v>11</v>
      </c>
      <c r="C35" s="132"/>
      <c r="D35" s="133" t="s">
        <v>12</v>
      </c>
      <c r="E35" s="174" t="s">
        <v>246</v>
      </c>
      <c r="F35" s="174" t="s">
        <v>247</v>
      </c>
      <c r="G35" s="168" t="s">
        <v>248</v>
      </c>
      <c r="H35" s="133" t="s">
        <v>246</v>
      </c>
      <c r="I35" s="174" t="s">
        <v>247</v>
      </c>
      <c r="J35" s="168" t="s">
        <v>248</v>
      </c>
      <c r="K35" s="134" t="s">
        <v>13</v>
      </c>
      <c r="L35" s="135" t="s">
        <v>14</v>
      </c>
      <c r="M35" s="135" t="s">
        <v>17</v>
      </c>
      <c r="N35" s="136" t="s">
        <v>15</v>
      </c>
      <c r="O35" s="137" t="s">
        <v>19</v>
      </c>
      <c r="P35" s="220" t="s">
        <v>256</v>
      </c>
      <c r="Q35" s="140" t="s">
        <v>252</v>
      </c>
      <c r="R35" s="141"/>
      <c r="S35" s="142" t="s">
        <v>191</v>
      </c>
      <c r="T35" s="212"/>
      <c r="U35" s="411" t="s">
        <v>286</v>
      </c>
      <c r="V35" s="412"/>
      <c r="W35" s="412"/>
      <c r="X35" s="412"/>
      <c r="Y35" s="413"/>
      <c r="Z35" s="161" t="s">
        <v>238</v>
      </c>
      <c r="AA35" s="162" t="s">
        <v>239</v>
      </c>
      <c r="AB35" s="163" t="s">
        <v>240</v>
      </c>
      <c r="AC35" s="188"/>
      <c r="AD35" s="189"/>
      <c r="AE35" s="190" t="s">
        <v>266</v>
      </c>
      <c r="AF35" s="189"/>
      <c r="AG35" s="190" t="s">
        <v>267</v>
      </c>
      <c r="AH35" s="190"/>
      <c r="AI35" s="190" t="s">
        <v>268</v>
      </c>
      <c r="AJ35" s="189"/>
      <c r="AK35" s="191" t="s">
        <v>278</v>
      </c>
      <c r="AL35" s="189"/>
      <c r="AM35" s="190"/>
      <c r="AN35" s="189"/>
      <c r="AO35" s="191" t="s">
        <v>275</v>
      </c>
      <c r="AP35" s="189"/>
      <c r="AQ35" s="190"/>
      <c r="AR35" s="189"/>
      <c r="AS35" s="190"/>
      <c r="AT35" s="189"/>
      <c r="AU35" s="189"/>
    </row>
    <row r="36" spans="1:47" s="120" customFormat="1" ht="15.95" customHeight="1" thickBot="1" x14ac:dyDescent="0.3">
      <c r="A36" s="124" t="s">
        <v>0</v>
      </c>
      <c r="B36" s="416" t="s">
        <v>0</v>
      </c>
      <c r="C36" s="328" t="s">
        <v>0</v>
      </c>
      <c r="D36" s="230" t="s">
        <v>237</v>
      </c>
      <c r="E36" s="175" t="s">
        <v>0</v>
      </c>
      <c r="F36" s="178" t="s">
        <v>0</v>
      </c>
      <c r="G36" s="125" t="s">
        <v>0</v>
      </c>
      <c r="H36" s="160" t="s">
        <v>0</v>
      </c>
      <c r="I36" s="178" t="s">
        <v>0</v>
      </c>
      <c r="J36" s="125" t="s">
        <v>0</v>
      </c>
      <c r="K36" s="279" t="s">
        <v>0</v>
      </c>
      <c r="L36" s="331" t="s">
        <v>0</v>
      </c>
      <c r="M36" s="333">
        <v>0</v>
      </c>
      <c r="N36" s="342">
        <f>IF(M36=" "," ",(M36+$L$7-M39))</f>
        <v>0</v>
      </c>
      <c r="O36" s="340">
        <v>0</v>
      </c>
      <c r="P36" s="394" t="s">
        <v>0</v>
      </c>
      <c r="Q36" s="138" t="s">
        <v>0</v>
      </c>
      <c r="R36" s="139" t="s">
        <v>0</v>
      </c>
      <c r="S36" s="277" t="s">
        <v>0</v>
      </c>
      <c r="T36" s="278"/>
      <c r="U36" s="213" t="s">
        <v>0</v>
      </c>
      <c r="V36" s="146" t="s">
        <v>0</v>
      </c>
      <c r="W36" s="147" t="s">
        <v>0</v>
      </c>
      <c r="X36" s="148" t="s">
        <v>0</v>
      </c>
      <c r="Y36" s="149" t="s">
        <v>0</v>
      </c>
      <c r="Z36" s="150" t="s">
        <v>0</v>
      </c>
      <c r="AA36" s="146" t="s">
        <v>0</v>
      </c>
      <c r="AB36" s="151" t="s">
        <v>0</v>
      </c>
      <c r="AC36" s="192" t="s">
        <v>237</v>
      </c>
      <c r="AD36" s="195" t="s">
        <v>262</v>
      </c>
      <c r="AE36" s="194" t="e">
        <f>E36+F36/60+G36/60/60</f>
        <v>#VALUE!</v>
      </c>
      <c r="AF36" s="195" t="s">
        <v>263</v>
      </c>
      <c r="AG36" s="194" t="e">
        <f>E39+F39/60+G39/60/60</f>
        <v>#VALUE!</v>
      </c>
      <c r="AH36" s="201" t="s">
        <v>269</v>
      </c>
      <c r="AI36" s="194" t="e">
        <f>AG36-AE36</f>
        <v>#VALUE!</v>
      </c>
      <c r="AJ36" s="195" t="s">
        <v>271</v>
      </c>
      <c r="AK36" s="194" t="e">
        <f>AI37*60*COS((AE36+AG36)/2*PI()/180)</f>
        <v>#VALUE!</v>
      </c>
      <c r="AL36" s="195" t="s">
        <v>273</v>
      </c>
      <c r="AM36" s="194" t="e">
        <f>AK36*6076.12</f>
        <v>#VALUE!</v>
      </c>
      <c r="AN36" s="195" t="s">
        <v>276</v>
      </c>
      <c r="AO36" s="194" t="e">
        <f>AE36*PI()/180</f>
        <v>#VALUE!</v>
      </c>
      <c r="AP36" s="195" t="s">
        <v>279</v>
      </c>
      <c r="AQ36" s="194" t="e">
        <f>AG36 *PI()/180</f>
        <v>#VALUE!</v>
      </c>
      <c r="AR36" s="195" t="s">
        <v>281</v>
      </c>
      <c r="AS36" s="194" t="e">
        <f>1*ATAN2(COS(AO36)*SIN(AQ36)-SIN(AO36)*COS(AQ36)*COS(AQ37-AO37),SIN(AQ37-AO37)*COS(AQ36))</f>
        <v>#VALUE!</v>
      </c>
      <c r="AT36" s="196" t="s">
        <v>284</v>
      </c>
      <c r="AU36" s="202" t="e">
        <f>SQRT(AK37*AK37+AK36*AK36)</f>
        <v>#VALUE!</v>
      </c>
    </row>
    <row r="37" spans="1:47" s="120" customFormat="1" ht="15.95" customHeight="1" thickTop="1" thickBot="1" x14ac:dyDescent="0.3">
      <c r="A37" s="166" t="s">
        <v>0</v>
      </c>
      <c r="B37" s="417"/>
      <c r="C37" s="329"/>
      <c r="D37" s="230" t="s">
        <v>242</v>
      </c>
      <c r="E37" s="325" t="s">
        <v>260</v>
      </c>
      <c r="F37" s="326"/>
      <c r="G37" s="326"/>
      <c r="H37" s="326"/>
      <c r="I37" s="326"/>
      <c r="J37" s="327"/>
      <c r="K37" s="280"/>
      <c r="L37" s="332"/>
      <c r="M37" s="333"/>
      <c r="N37" s="343"/>
      <c r="O37" s="341"/>
      <c r="P37" s="395"/>
      <c r="Q37" s="396" t="s">
        <v>0</v>
      </c>
      <c r="R37" s="397"/>
      <c r="S37" s="397"/>
      <c r="T37" s="397"/>
      <c r="U37" s="401" t="s">
        <v>0</v>
      </c>
      <c r="V37" s="402"/>
      <c r="W37" s="402"/>
      <c r="X37" s="402"/>
      <c r="Y37" s="403"/>
      <c r="Z37" s="266" t="s">
        <v>0</v>
      </c>
      <c r="AA37" s="267"/>
      <c r="AB37" s="268"/>
      <c r="AC37" s="192" t="s">
        <v>192</v>
      </c>
      <c r="AD37" s="195" t="s">
        <v>264</v>
      </c>
      <c r="AE37" s="194" t="e">
        <f>H36+I36/60+J36/60/60</f>
        <v>#VALUE!</v>
      </c>
      <c r="AF37" s="195" t="s">
        <v>265</v>
      </c>
      <c r="AG37" s="194" t="e">
        <f>H39+I39/60+J39/60/60</f>
        <v>#VALUE!</v>
      </c>
      <c r="AH37" s="201" t="s">
        <v>270</v>
      </c>
      <c r="AI37" s="194" t="e">
        <f>AE37-AG37</f>
        <v>#VALUE!</v>
      </c>
      <c r="AJ37" s="195" t="s">
        <v>272</v>
      </c>
      <c r="AK37" s="194" t="e">
        <f>AI36*60</f>
        <v>#VALUE!</v>
      </c>
      <c r="AL37" s="195" t="s">
        <v>274</v>
      </c>
      <c r="AM37" s="194" t="e">
        <f>AK37*6076.12</f>
        <v>#VALUE!</v>
      </c>
      <c r="AN37" s="195" t="s">
        <v>277</v>
      </c>
      <c r="AO37" s="194" t="e">
        <f>AE37*PI()/180</f>
        <v>#VALUE!</v>
      </c>
      <c r="AP37" s="195" t="s">
        <v>280</v>
      </c>
      <c r="AQ37" s="194" t="e">
        <f>AG37*PI()/180</f>
        <v>#VALUE!</v>
      </c>
      <c r="AR37" s="195" t="s">
        <v>282</v>
      </c>
      <c r="AS37" s="193" t="e">
        <f>IF(360+AS36/(2*PI())*360&gt;360,AS36/(PI())*360,360+AS36/(2*PI())*360)</f>
        <v>#VALUE!</v>
      </c>
      <c r="AT37" s="197"/>
      <c r="AU37" s="197"/>
    </row>
    <row r="38" spans="1:47" s="120" customFormat="1" ht="15.95" customHeight="1" thickBot="1" x14ac:dyDescent="0.3">
      <c r="A38" s="164">
        <v>6</v>
      </c>
      <c r="B38" s="417"/>
      <c r="C38" s="329"/>
      <c r="D38" s="230" t="s">
        <v>243</v>
      </c>
      <c r="E38" s="334" t="s">
        <v>259</v>
      </c>
      <c r="F38" s="335"/>
      <c r="G38" s="335"/>
      <c r="H38" s="335"/>
      <c r="I38" s="335"/>
      <c r="J38" s="336"/>
      <c r="K38" s="126" t="s">
        <v>16</v>
      </c>
      <c r="L38" s="209" t="s">
        <v>285</v>
      </c>
      <c r="M38" s="127" t="s">
        <v>250</v>
      </c>
      <c r="N38" s="128" t="s">
        <v>4</v>
      </c>
      <c r="O38" s="129" t="s">
        <v>18</v>
      </c>
      <c r="P38" s="221" t="s">
        <v>188</v>
      </c>
      <c r="Q38" s="398"/>
      <c r="R38" s="397"/>
      <c r="S38" s="397"/>
      <c r="T38" s="397"/>
      <c r="U38" s="404"/>
      <c r="V38" s="405"/>
      <c r="W38" s="405"/>
      <c r="X38" s="405"/>
      <c r="Y38" s="406"/>
      <c r="Z38" s="269"/>
      <c r="AA38" s="270"/>
      <c r="AB38" s="271"/>
      <c r="AC38" s="198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5" t="s">
        <v>283</v>
      </c>
      <c r="AS38" s="193" t="e">
        <f>61.582*ACOS(SIN(AE36)*SIN(AG36)+COS(AE36)*COS(AG36)*(AE37-AG37))*6076.12</f>
        <v>#VALUE!</v>
      </c>
      <c r="AT38" s="197"/>
      <c r="AU38" s="197"/>
    </row>
    <row r="39" spans="1:47" s="119" customFormat="1" ht="35.1" customHeight="1" thickTop="1" thickBot="1" x14ac:dyDescent="0.3">
      <c r="A39" s="506" t="str">
        <f>IF(Z36=1,"VERIFIED",IF(AA36=1,"RECHECKED",IF(V36=1,"RECHECK",IF(X36=1,"VERIFY",IF(Y36=1,"NEED PMT APP","SANITY CHECK ONLY")))))</f>
        <v>SANITY CHECK ONLY</v>
      </c>
      <c r="B39" s="417"/>
      <c r="C39" s="330"/>
      <c r="D39" s="231" t="s">
        <v>192</v>
      </c>
      <c r="E39" s="176" t="s">
        <v>0</v>
      </c>
      <c r="F39" s="179" t="s">
        <v>0</v>
      </c>
      <c r="G39" s="172" t="s">
        <v>0</v>
      </c>
      <c r="H39" s="171" t="s">
        <v>0</v>
      </c>
      <c r="I39" s="179" t="s">
        <v>0</v>
      </c>
      <c r="J39" s="172" t="s">
        <v>0</v>
      </c>
      <c r="K39" s="130" t="str">
        <f>$N$7</f>
        <v xml:space="preserve"> </v>
      </c>
      <c r="L39" s="204" t="str">
        <f>IF(E39=" ","Not being used ",AU36*6076.12)</f>
        <v xml:space="preserve">Not being used </v>
      </c>
      <c r="M39" s="203">
        <v>0</v>
      </c>
      <c r="N39" s="152" t="str">
        <f>IF(W36=1,"Need Photo","Has Photo")</f>
        <v>Has Photo</v>
      </c>
      <c r="O39" s="165" t="s">
        <v>258</v>
      </c>
      <c r="P39" s="223" t="str">
        <f>IF(E39=" ","Not being used",(IF(L39&gt;O36,"OFF STA","ON STA")))</f>
        <v>Not being used</v>
      </c>
      <c r="Q39" s="399"/>
      <c r="R39" s="400"/>
      <c r="S39" s="400"/>
      <c r="T39" s="400"/>
      <c r="U39" s="407"/>
      <c r="V39" s="408"/>
      <c r="W39" s="408"/>
      <c r="X39" s="408"/>
      <c r="Y39" s="409"/>
      <c r="Z39" s="272"/>
      <c r="AA39" s="273"/>
      <c r="AB39" s="274"/>
      <c r="AC39" s="118"/>
    </row>
    <row r="40" spans="1:47" s="117" customFormat="1" ht="9" customHeight="1" thickTop="1" thickBot="1" x14ac:dyDescent="0.3">
      <c r="A40" s="210"/>
      <c r="B40" s="418"/>
      <c r="C40" s="132"/>
      <c r="D40" s="133" t="s">
        <v>12</v>
      </c>
      <c r="E40" s="174" t="s">
        <v>246</v>
      </c>
      <c r="F40" s="174" t="s">
        <v>247</v>
      </c>
      <c r="G40" s="168" t="s">
        <v>248</v>
      </c>
      <c r="H40" s="133" t="s">
        <v>246</v>
      </c>
      <c r="I40" s="174" t="s">
        <v>247</v>
      </c>
      <c r="J40" s="168" t="s">
        <v>248</v>
      </c>
      <c r="K40" s="134" t="s">
        <v>13</v>
      </c>
      <c r="L40" s="135" t="s">
        <v>14</v>
      </c>
      <c r="M40" s="135" t="s">
        <v>17</v>
      </c>
      <c r="N40" s="136" t="s">
        <v>15</v>
      </c>
      <c r="O40" s="137" t="s">
        <v>19</v>
      </c>
      <c r="P40" s="220" t="s">
        <v>256</v>
      </c>
      <c r="Q40" s="140" t="s">
        <v>252</v>
      </c>
      <c r="R40" s="141"/>
      <c r="S40" s="142" t="s">
        <v>191</v>
      </c>
      <c r="T40" s="212"/>
      <c r="U40" s="411" t="s">
        <v>286</v>
      </c>
      <c r="V40" s="412"/>
      <c r="W40" s="412"/>
      <c r="X40" s="412"/>
      <c r="Y40" s="413"/>
      <c r="Z40" s="161" t="s">
        <v>238</v>
      </c>
      <c r="AA40" s="162" t="s">
        <v>239</v>
      </c>
      <c r="AB40" s="163" t="s">
        <v>240</v>
      </c>
      <c r="AC40" s="188"/>
      <c r="AD40" s="189"/>
      <c r="AE40" s="190" t="s">
        <v>266</v>
      </c>
      <c r="AF40" s="189"/>
      <c r="AG40" s="190" t="s">
        <v>267</v>
      </c>
      <c r="AH40" s="190"/>
      <c r="AI40" s="190" t="s">
        <v>268</v>
      </c>
      <c r="AJ40" s="189"/>
      <c r="AK40" s="191" t="s">
        <v>278</v>
      </c>
      <c r="AL40" s="189"/>
      <c r="AM40" s="190"/>
      <c r="AN40" s="189"/>
      <c r="AO40" s="191" t="s">
        <v>275</v>
      </c>
      <c r="AP40" s="189"/>
      <c r="AQ40" s="190"/>
      <c r="AR40" s="189"/>
      <c r="AS40" s="190"/>
      <c r="AT40" s="189"/>
      <c r="AU40" s="189"/>
    </row>
    <row r="41" spans="1:47" s="119" customFormat="1" ht="75" customHeight="1" thickTop="1" thickBot="1" x14ac:dyDescent="0.3">
      <c r="A41" s="419" t="s">
        <v>261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214"/>
      <c r="V41" s="158"/>
      <c r="W41" s="158"/>
      <c r="X41" s="158"/>
      <c r="Y41" s="159"/>
      <c r="Z41" s="224"/>
      <c r="AA41" s="225"/>
      <c r="AB41" s="226"/>
      <c r="AC41" s="118"/>
    </row>
    <row r="42" spans="1:47" ht="22.5" thickTop="1" thickBot="1" x14ac:dyDescent="0.35">
      <c r="J42" s="186" t="s">
        <v>236</v>
      </c>
      <c r="K42" s="187">
        <f>SUM(U7:U41)</f>
        <v>5</v>
      </c>
      <c r="L42" s="183" t="s">
        <v>238</v>
      </c>
      <c r="M42" s="187">
        <f>SUM(X7:X41)</f>
        <v>1</v>
      </c>
      <c r="N42" s="184" t="s">
        <v>239</v>
      </c>
      <c r="O42" s="187">
        <f>SUM(V7:V41)</f>
        <v>3</v>
      </c>
      <c r="P42" s="219" t="s">
        <v>240</v>
      </c>
      <c r="Q42" s="187">
        <f>SUM(W7:W41)</f>
        <v>1</v>
      </c>
      <c r="R42" s="185" t="s">
        <v>241</v>
      </c>
      <c r="S42" s="187">
        <f>SUM(Y7:Y41)</f>
        <v>1</v>
      </c>
      <c r="T42" s="205"/>
      <c r="U42" s="215"/>
      <c r="V42" s="206"/>
      <c r="W42" s="207"/>
      <c r="X42" s="207"/>
      <c r="Y42" s="208"/>
      <c r="Z42" s="182">
        <f>SUM(Z7:Z41)</f>
        <v>0</v>
      </c>
      <c r="AA42" s="182">
        <f>SUM(AA7:AA41)</f>
        <v>3</v>
      </c>
      <c r="AB42" s="182">
        <f>SUM(AB7:AB41)</f>
        <v>0</v>
      </c>
      <c r="AC42" s="13"/>
    </row>
    <row r="43" spans="1:47" ht="21.75" thickTop="1" x14ac:dyDescent="0.3"/>
  </sheetData>
  <sheetProtection insertRows="0"/>
  <mergeCells count="140">
    <mergeCell ref="Z3:AB4"/>
    <mergeCell ref="P9:P10"/>
    <mergeCell ref="E16:J16"/>
    <mergeCell ref="L14:L15"/>
    <mergeCell ref="S24:T24"/>
    <mergeCell ref="O14:O15"/>
    <mergeCell ref="A41:T41"/>
    <mergeCell ref="E30:J30"/>
    <mergeCell ref="E31:J31"/>
    <mergeCell ref="E37:J37"/>
    <mergeCell ref="E38:J38"/>
    <mergeCell ref="O29:O30"/>
    <mergeCell ref="P29:P30"/>
    <mergeCell ref="S29:T29"/>
    <mergeCell ref="Z20:AB22"/>
    <mergeCell ref="Z37:AB39"/>
    <mergeCell ref="C36:C39"/>
    <mergeCell ref="B36:B40"/>
    <mergeCell ref="O19:O20"/>
    <mergeCell ref="E20:J20"/>
    <mergeCell ref="B24:B27"/>
    <mergeCell ref="C24:C27"/>
    <mergeCell ref="B29:B32"/>
    <mergeCell ref="C29:C32"/>
    <mergeCell ref="Q30:T32"/>
    <mergeCell ref="L29:L30"/>
    <mergeCell ref="M29:M30"/>
    <mergeCell ref="N29:N30"/>
    <mergeCell ref="U10:Y12"/>
    <mergeCell ref="U8:Y8"/>
    <mergeCell ref="U13:Y13"/>
    <mergeCell ref="W5:W6"/>
    <mergeCell ref="S14:T14"/>
    <mergeCell ref="P14:P15"/>
    <mergeCell ref="Q20:T22"/>
    <mergeCell ref="Q15:T17"/>
    <mergeCell ref="Z25:AB27"/>
    <mergeCell ref="U20:Y22"/>
    <mergeCell ref="U25:Y27"/>
    <mergeCell ref="Z30:AB32"/>
    <mergeCell ref="Q25:T27"/>
    <mergeCell ref="P19:P20"/>
    <mergeCell ref="S19:T19"/>
    <mergeCell ref="U18:Y18"/>
    <mergeCell ref="U23:Y23"/>
    <mergeCell ref="U28:Y28"/>
    <mergeCell ref="U35:Y35"/>
    <mergeCell ref="U40:Y40"/>
    <mergeCell ref="P34:T34"/>
    <mergeCell ref="P24:P25"/>
    <mergeCell ref="U15:Y17"/>
    <mergeCell ref="N14:N15"/>
    <mergeCell ref="K19:K20"/>
    <mergeCell ref="L19:L20"/>
    <mergeCell ref="M19:M20"/>
    <mergeCell ref="N19:N20"/>
    <mergeCell ref="K24:K25"/>
    <mergeCell ref="K36:K37"/>
    <mergeCell ref="L36:L37"/>
    <mergeCell ref="M36:M37"/>
    <mergeCell ref="N36:N37"/>
    <mergeCell ref="Z15:AB17"/>
    <mergeCell ref="K14:K15"/>
    <mergeCell ref="K29:K30"/>
    <mergeCell ref="O36:O37"/>
    <mergeCell ref="P36:P37"/>
    <mergeCell ref="S36:T36"/>
    <mergeCell ref="Q37:T39"/>
    <mergeCell ref="U37:Y39"/>
    <mergeCell ref="M14:M15"/>
    <mergeCell ref="U30:Y3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U3:Y3"/>
    <mergeCell ref="U4:Y4"/>
    <mergeCell ref="U2:Y2"/>
    <mergeCell ref="Z1:Z2"/>
    <mergeCell ref="A33:K33"/>
    <mergeCell ref="L33:T33"/>
    <mergeCell ref="E15:J15"/>
    <mergeCell ref="C9:C12"/>
    <mergeCell ref="L9:L10"/>
    <mergeCell ref="K6:O6"/>
    <mergeCell ref="M9:M10"/>
    <mergeCell ref="E10:J10"/>
    <mergeCell ref="E11:J11"/>
    <mergeCell ref="E21:J21"/>
    <mergeCell ref="E25:J25"/>
    <mergeCell ref="E26:J26"/>
    <mergeCell ref="B14:B17"/>
    <mergeCell ref="C14:C17"/>
    <mergeCell ref="B19:B22"/>
    <mergeCell ref="C19:C22"/>
    <mergeCell ref="O24:O25"/>
    <mergeCell ref="N24:N25"/>
    <mergeCell ref="M24:M25"/>
    <mergeCell ref="L24:L25"/>
    <mergeCell ref="E6:J6"/>
    <mergeCell ref="O9:O10"/>
    <mergeCell ref="N9:N10"/>
    <mergeCell ref="B9:B12"/>
    <mergeCell ref="A3:D4"/>
    <mergeCell ref="A1:A2"/>
    <mergeCell ref="Z5:Z6"/>
    <mergeCell ref="Z10:AB12"/>
    <mergeCell ref="P7:T7"/>
    <mergeCell ref="Q10:T12"/>
    <mergeCell ref="S9:T9"/>
    <mergeCell ref="K9:K10"/>
    <mergeCell ref="B1:B2"/>
    <mergeCell ref="E1:H4"/>
    <mergeCell ref="I3:I4"/>
    <mergeCell ref="I1:I2"/>
    <mergeCell ref="AA5:AA6"/>
    <mergeCell ref="AB5:AB6"/>
    <mergeCell ref="A5:G5"/>
    <mergeCell ref="N5:P5"/>
    <mergeCell ref="J5:K5"/>
    <mergeCell ref="P6:T6"/>
    <mergeCell ref="AA1:AA2"/>
    <mergeCell ref="A6:D6"/>
    <mergeCell ref="X5:X6"/>
    <mergeCell ref="Y5:Y6"/>
    <mergeCell ref="U5:U6"/>
    <mergeCell ref="V5:V6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25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25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25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25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25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ht="15.75" thickTop="1" x14ac:dyDescent="0.25">
      <c r="A1" s="473" t="s">
        <v>6</v>
      </c>
      <c r="B1" s="474"/>
      <c r="C1" s="474"/>
      <c r="D1" s="475"/>
      <c r="E1" s="476" t="s">
        <v>8</v>
      </c>
      <c r="F1" s="477"/>
      <c r="G1" s="477"/>
      <c r="H1" s="477"/>
      <c r="I1" s="477"/>
      <c r="J1" s="478"/>
      <c r="K1" s="40"/>
      <c r="L1" s="40"/>
      <c r="M1" s="40"/>
      <c r="N1" s="40"/>
      <c r="O1" s="40"/>
    </row>
    <row r="2" spans="1:15" x14ac:dyDescent="0.25">
      <c r="A2" s="479" t="s">
        <v>0</v>
      </c>
      <c r="B2" s="480"/>
      <c r="C2" s="480"/>
      <c r="D2" s="481"/>
      <c r="E2" s="482" t="s">
        <v>0</v>
      </c>
      <c r="F2" s="483"/>
      <c r="G2" s="483"/>
      <c r="H2" s="483"/>
      <c r="I2" s="483"/>
      <c r="J2" s="484"/>
      <c r="K2" s="485" t="s">
        <v>0</v>
      </c>
      <c r="L2" s="486"/>
      <c r="M2" s="486"/>
      <c r="N2" s="486"/>
      <c r="O2" s="486"/>
    </row>
    <row r="3" spans="1:15" x14ac:dyDescent="0.25">
      <c r="A3" s="488" t="s">
        <v>7</v>
      </c>
      <c r="B3" s="489"/>
      <c r="C3" s="489"/>
      <c r="D3" s="490"/>
      <c r="E3" s="491" t="s">
        <v>9</v>
      </c>
      <c r="F3" s="492"/>
      <c r="G3" s="492"/>
      <c r="H3" s="492"/>
      <c r="I3" s="492"/>
      <c r="J3" s="493"/>
      <c r="K3" s="487"/>
      <c r="L3" s="486"/>
      <c r="M3" s="486"/>
      <c r="N3" s="486"/>
      <c r="O3" s="486"/>
    </row>
    <row r="4" spans="1:15" ht="15.75" thickBot="1" x14ac:dyDescent="0.3">
      <c r="A4" s="459" t="s">
        <v>0</v>
      </c>
      <c r="B4" s="460"/>
      <c r="C4" s="460"/>
      <c r="D4" s="461"/>
      <c r="E4" s="462" t="s">
        <v>0</v>
      </c>
      <c r="F4" s="463"/>
      <c r="G4" s="463"/>
      <c r="H4" s="463"/>
      <c r="I4" s="463"/>
      <c r="J4" s="464"/>
      <c r="K4" s="41"/>
      <c r="L4" s="41"/>
      <c r="M4" s="41"/>
      <c r="N4" s="41"/>
      <c r="O4" s="41"/>
    </row>
    <row r="5" spans="1:15" ht="27" thickTop="1" x14ac:dyDescent="0.25">
      <c r="A5" s="465" t="s">
        <v>193</v>
      </c>
      <c r="B5" s="466"/>
      <c r="C5" s="466"/>
      <c r="D5" s="466"/>
      <c r="E5" s="467" t="s">
        <v>0</v>
      </c>
      <c r="F5" s="467"/>
      <c r="G5" s="468" t="s">
        <v>2</v>
      </c>
      <c r="H5" s="469"/>
      <c r="I5" s="470" t="s">
        <v>0</v>
      </c>
      <c r="J5" s="471"/>
      <c r="K5" s="472"/>
      <c r="L5" s="42" t="s">
        <v>0</v>
      </c>
      <c r="M5" s="43" t="s">
        <v>0</v>
      </c>
      <c r="N5" s="43" t="s">
        <v>0</v>
      </c>
      <c r="O5" s="44"/>
    </row>
    <row r="6" spans="1:15" ht="25.5" thickBot="1" x14ac:dyDescent="0.3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53" t="s">
        <v>198</v>
      </c>
      <c r="H6" s="454"/>
      <c r="I6" s="455"/>
      <c r="J6" s="50" t="s">
        <v>0</v>
      </c>
      <c r="K6" s="456" t="s">
        <v>0</v>
      </c>
      <c r="L6" s="457"/>
      <c r="M6" s="457"/>
      <c r="N6" s="457"/>
      <c r="O6" s="458"/>
    </row>
    <row r="7" spans="1:15" ht="15" customHeight="1" thickTop="1" x14ac:dyDescent="0.25">
      <c r="A7" s="51" t="s">
        <v>199</v>
      </c>
      <c r="B7" s="426" t="s">
        <v>215</v>
      </c>
      <c r="C7" s="52" t="s">
        <v>200</v>
      </c>
      <c r="D7" s="428" t="s">
        <v>216</v>
      </c>
      <c r="E7" s="428"/>
      <c r="F7" s="429" t="s">
        <v>0</v>
      </c>
      <c r="G7" s="431" t="s">
        <v>201</v>
      </c>
      <c r="H7" s="431"/>
      <c r="I7" s="53">
        <v>2</v>
      </c>
      <c r="J7" s="443" t="s">
        <v>235</v>
      </c>
      <c r="K7" s="444"/>
      <c r="L7" s="444"/>
      <c r="M7" s="444"/>
      <c r="N7" s="444"/>
      <c r="O7" s="445"/>
    </row>
    <row r="8" spans="1:15" ht="15" customHeight="1" thickBot="1" x14ac:dyDescent="0.3">
      <c r="A8" s="54">
        <v>1135</v>
      </c>
      <c r="B8" s="427"/>
      <c r="C8" s="55" t="s">
        <v>202</v>
      </c>
      <c r="D8" s="56" t="s">
        <v>217</v>
      </c>
      <c r="E8" s="56" t="s">
        <v>220</v>
      </c>
      <c r="F8" s="430"/>
      <c r="G8" s="432" t="s">
        <v>203</v>
      </c>
      <c r="H8" s="432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27"/>
      <c r="C9" s="55" t="s">
        <v>1</v>
      </c>
      <c r="D9" s="64" t="s">
        <v>218</v>
      </c>
      <c r="E9" s="64" t="s">
        <v>219</v>
      </c>
      <c r="F9" s="433" t="s">
        <v>0</v>
      </c>
      <c r="G9" s="432" t="s">
        <v>0</v>
      </c>
      <c r="H9" s="432"/>
      <c r="I9" s="57"/>
      <c r="J9" s="65"/>
      <c r="K9" s="65"/>
      <c r="L9" s="435" t="s">
        <v>0</v>
      </c>
      <c r="M9" s="436"/>
      <c r="N9" s="437"/>
      <c r="O9" s="440" t="s">
        <v>204</v>
      </c>
    </row>
    <row r="10" spans="1:15" ht="16.149999999999999" customHeight="1" thickBot="1" x14ac:dyDescent="0.3">
      <c r="A10" s="66">
        <v>1</v>
      </c>
      <c r="B10" s="427"/>
      <c r="C10" s="67" t="s">
        <v>192</v>
      </c>
      <c r="D10" s="68" t="s">
        <v>0</v>
      </c>
      <c r="E10" s="69" t="s">
        <v>0</v>
      </c>
      <c r="F10" s="434"/>
      <c r="G10" s="442" t="s">
        <v>0</v>
      </c>
      <c r="H10" s="442"/>
      <c r="I10" s="70"/>
      <c r="J10" s="71"/>
      <c r="K10" s="71"/>
      <c r="L10" s="438"/>
      <c r="M10" s="438"/>
      <c r="N10" s="439"/>
      <c r="O10" s="441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20" t="s">
        <v>0</v>
      </c>
      <c r="F11" s="421"/>
      <c r="G11" s="421"/>
      <c r="H11" s="421"/>
      <c r="I11" s="422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23"/>
      <c r="F12" s="424"/>
      <c r="G12" s="424"/>
      <c r="H12" s="424"/>
      <c r="I12" s="425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48" t="s">
        <v>221</v>
      </c>
      <c r="C13" s="52" t="s">
        <v>200</v>
      </c>
      <c r="D13" s="428" t="s">
        <v>216</v>
      </c>
      <c r="E13" s="428"/>
      <c r="F13" s="452"/>
      <c r="G13" s="431" t="s">
        <v>201</v>
      </c>
      <c r="H13" s="431"/>
      <c r="I13" s="86">
        <v>2</v>
      </c>
      <c r="J13" s="443" t="s">
        <v>235</v>
      </c>
      <c r="K13" s="444"/>
      <c r="L13" s="444"/>
      <c r="M13" s="444"/>
      <c r="N13" s="444"/>
      <c r="O13" s="445"/>
    </row>
    <row r="14" spans="1:15" ht="15" customHeight="1" thickBot="1" x14ac:dyDescent="0.3">
      <c r="A14" s="54">
        <v>1136</v>
      </c>
      <c r="B14" s="449"/>
      <c r="C14" s="55" t="s">
        <v>202</v>
      </c>
      <c r="D14" s="56" t="s">
        <v>217</v>
      </c>
      <c r="E14" s="56" t="s">
        <v>225</v>
      </c>
      <c r="F14" s="430"/>
      <c r="G14" s="432" t="s">
        <v>203</v>
      </c>
      <c r="H14" s="432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50"/>
      <c r="C15" s="55" t="s">
        <v>1</v>
      </c>
      <c r="D15" s="64" t="s">
        <v>222</v>
      </c>
      <c r="E15" s="64" t="s">
        <v>223</v>
      </c>
      <c r="F15" s="446"/>
      <c r="G15" s="447" t="s">
        <v>0</v>
      </c>
      <c r="H15" s="447"/>
      <c r="I15" s="87"/>
      <c r="J15" s="89"/>
      <c r="K15" s="65"/>
      <c r="L15" s="435" t="s">
        <v>0</v>
      </c>
      <c r="M15" s="436"/>
      <c r="N15" s="437"/>
      <c r="O15" s="440" t="s">
        <v>204</v>
      </c>
    </row>
    <row r="16" spans="1:15" ht="16.149999999999999" customHeight="1" thickBot="1" x14ac:dyDescent="0.3">
      <c r="A16" s="66">
        <v>2</v>
      </c>
      <c r="B16" s="451"/>
      <c r="C16" s="90" t="s">
        <v>192</v>
      </c>
      <c r="D16" s="91" t="s">
        <v>0</v>
      </c>
      <c r="E16" s="91" t="s">
        <v>0</v>
      </c>
      <c r="F16" s="446"/>
      <c r="G16" s="447" t="s">
        <v>0</v>
      </c>
      <c r="H16" s="447"/>
      <c r="I16" s="87"/>
      <c r="J16" s="92"/>
      <c r="K16" s="71"/>
      <c r="L16" s="438"/>
      <c r="M16" s="438"/>
      <c r="N16" s="439"/>
      <c r="O16" s="441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20" t="s">
        <v>0</v>
      </c>
      <c r="F17" s="421"/>
      <c r="G17" s="421"/>
      <c r="H17" s="421"/>
      <c r="I17" s="422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23"/>
      <c r="F18" s="424"/>
      <c r="G18" s="424"/>
      <c r="H18" s="424"/>
      <c r="I18" s="425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26" t="s">
        <v>226</v>
      </c>
      <c r="C19" s="52" t="s">
        <v>200</v>
      </c>
      <c r="D19" s="428" t="s">
        <v>216</v>
      </c>
      <c r="E19" s="428"/>
      <c r="F19" s="429" t="s">
        <v>0</v>
      </c>
      <c r="G19" s="431" t="s">
        <v>201</v>
      </c>
      <c r="H19" s="431"/>
      <c r="I19" s="53">
        <v>2</v>
      </c>
      <c r="J19" s="443" t="s">
        <v>235</v>
      </c>
      <c r="K19" s="444"/>
      <c r="L19" s="444"/>
      <c r="M19" s="444"/>
      <c r="N19" s="444"/>
      <c r="O19" s="445"/>
    </row>
    <row r="20" spans="1:15" ht="15" customHeight="1" thickBot="1" x14ac:dyDescent="0.3">
      <c r="A20" s="54">
        <v>1137</v>
      </c>
      <c r="B20" s="427"/>
      <c r="C20" s="55" t="s">
        <v>202</v>
      </c>
      <c r="D20" s="56" t="s">
        <v>217</v>
      </c>
      <c r="E20" s="56" t="s">
        <v>225</v>
      </c>
      <c r="F20" s="430"/>
      <c r="G20" s="432" t="s">
        <v>203</v>
      </c>
      <c r="H20" s="432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27"/>
      <c r="C21" s="55" t="s">
        <v>1</v>
      </c>
      <c r="D21" s="64" t="s">
        <v>227</v>
      </c>
      <c r="E21" s="64" t="s">
        <v>228</v>
      </c>
      <c r="F21" s="433" t="s">
        <v>0</v>
      </c>
      <c r="G21" s="432" t="s">
        <v>214</v>
      </c>
      <c r="H21" s="432"/>
      <c r="I21" s="57">
        <v>4</v>
      </c>
      <c r="J21" s="65"/>
      <c r="K21" s="65"/>
      <c r="L21" s="435" t="s">
        <v>0</v>
      </c>
      <c r="M21" s="436"/>
      <c r="N21" s="437"/>
      <c r="O21" s="440" t="s">
        <v>204</v>
      </c>
    </row>
    <row r="22" spans="1:15" ht="16.149999999999999" customHeight="1" thickBot="1" x14ac:dyDescent="0.3">
      <c r="A22" s="66">
        <v>3</v>
      </c>
      <c r="B22" s="427"/>
      <c r="C22" s="67" t="s">
        <v>192</v>
      </c>
      <c r="D22" s="68" t="s">
        <v>0</v>
      </c>
      <c r="E22" s="69" t="s">
        <v>0</v>
      </c>
      <c r="F22" s="434"/>
      <c r="G22" s="442" t="s">
        <v>0</v>
      </c>
      <c r="H22" s="442"/>
      <c r="I22" s="70"/>
      <c r="J22" s="71"/>
      <c r="K22" s="71"/>
      <c r="L22" s="438"/>
      <c r="M22" s="438"/>
      <c r="N22" s="439"/>
      <c r="O22" s="441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20" t="s">
        <v>0</v>
      </c>
      <c r="F23" s="421"/>
      <c r="G23" s="421"/>
      <c r="H23" s="421"/>
      <c r="I23" s="422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23"/>
      <c r="F24" s="424"/>
      <c r="G24" s="424"/>
      <c r="H24" s="424"/>
      <c r="I24" s="425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26" t="s">
        <v>229</v>
      </c>
      <c r="C25" s="52" t="s">
        <v>200</v>
      </c>
      <c r="D25" s="428" t="s">
        <v>216</v>
      </c>
      <c r="E25" s="428"/>
      <c r="F25" s="429" t="s">
        <v>0</v>
      </c>
      <c r="G25" s="432" t="s">
        <v>203</v>
      </c>
      <c r="H25" s="432"/>
      <c r="I25" s="53">
        <v>2</v>
      </c>
      <c r="J25" s="443" t="s">
        <v>235</v>
      </c>
      <c r="K25" s="444"/>
      <c r="L25" s="444"/>
      <c r="M25" s="444"/>
      <c r="N25" s="444"/>
      <c r="O25" s="445"/>
    </row>
    <row r="26" spans="1:15" ht="15" customHeight="1" thickBot="1" x14ac:dyDescent="0.3">
      <c r="A26" s="54">
        <v>1138</v>
      </c>
      <c r="B26" s="427"/>
      <c r="C26" s="55" t="s">
        <v>202</v>
      </c>
      <c r="D26" s="56" t="s">
        <v>230</v>
      </c>
      <c r="E26" s="56" t="s">
        <v>231</v>
      </c>
      <c r="F26" s="430"/>
      <c r="G26" s="432" t="s">
        <v>234</v>
      </c>
      <c r="H26" s="432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27"/>
      <c r="C27" s="55" t="s">
        <v>1</v>
      </c>
      <c r="D27" s="64" t="s">
        <v>232</v>
      </c>
      <c r="E27" s="64" t="s">
        <v>233</v>
      </c>
      <c r="F27" s="433" t="s">
        <v>0</v>
      </c>
      <c r="G27" s="432" t="s">
        <v>214</v>
      </c>
      <c r="H27" s="432"/>
      <c r="I27" s="57">
        <v>4</v>
      </c>
      <c r="J27" s="65"/>
      <c r="K27" s="65"/>
      <c r="L27" s="435" t="s">
        <v>0</v>
      </c>
      <c r="M27" s="436"/>
      <c r="N27" s="437"/>
      <c r="O27" s="440" t="s">
        <v>204</v>
      </c>
    </row>
    <row r="28" spans="1:15" ht="16.149999999999999" customHeight="1" thickBot="1" x14ac:dyDescent="0.3">
      <c r="A28" s="66">
        <v>4</v>
      </c>
      <c r="B28" s="427"/>
      <c r="C28" s="67" t="s">
        <v>192</v>
      </c>
      <c r="D28" s="68" t="s">
        <v>0</v>
      </c>
      <c r="E28" s="69" t="s">
        <v>0</v>
      </c>
      <c r="F28" s="434"/>
      <c r="G28" s="442" t="s">
        <v>0</v>
      </c>
      <c r="H28" s="442"/>
      <c r="I28" s="70"/>
      <c r="J28" s="71"/>
      <c r="K28" s="71"/>
      <c r="L28" s="438"/>
      <c r="M28" s="438"/>
      <c r="N28" s="439"/>
      <c r="O28" s="441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20" t="s">
        <v>0</v>
      </c>
      <c r="F29" s="421"/>
      <c r="G29" s="421"/>
      <c r="H29" s="421"/>
      <c r="I29" s="422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23"/>
      <c r="F30" s="424"/>
      <c r="G30" s="424"/>
      <c r="H30" s="424"/>
      <c r="I30" s="425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2018-08-17T15:35:12Z</dcterms:modified>
</cp:coreProperties>
</file>