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2" i="2" l="1"/>
  <c r="P2" i="2"/>
  <c r="P7" i="2"/>
  <c r="P34" i="2"/>
  <c r="A39" i="2"/>
  <c r="AG19" i="2"/>
  <c r="AE19" i="2"/>
  <c r="AI19" i="2"/>
  <c r="AK20" i="2"/>
  <c r="AG20" i="2"/>
  <c r="AE20" i="2"/>
  <c r="AI20" i="2"/>
  <c r="AK19" i="2"/>
  <c r="AU19" i="2"/>
  <c r="L22" i="2"/>
  <c r="P22" i="2"/>
  <c r="N22" i="2"/>
  <c r="N19" i="2"/>
  <c r="AG24" i="2"/>
  <c r="AE24" i="2"/>
  <c r="AI24" i="2"/>
  <c r="AK25" i="2"/>
  <c r="AG25" i="2"/>
  <c r="AE25" i="2"/>
  <c r="AI25" i="2"/>
  <c r="AK24" i="2"/>
  <c r="AU24" i="2"/>
  <c r="L27" i="2"/>
  <c r="P27" i="2"/>
  <c r="N27" i="2"/>
  <c r="N24" i="2"/>
  <c r="AG29" i="2"/>
  <c r="AE29" i="2"/>
  <c r="AI29" i="2"/>
  <c r="AK30" i="2"/>
  <c r="AG30" i="2"/>
  <c r="AE30" i="2"/>
  <c r="AI30" i="2"/>
  <c r="AK29" i="2"/>
  <c r="AU29" i="2"/>
  <c r="L32" i="2"/>
  <c r="P32" i="2"/>
  <c r="N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9" i="2"/>
  <c r="N36" i="2"/>
  <c r="AG41" i="2"/>
  <c r="AE41" i="2"/>
  <c r="AI41" i="2"/>
  <c r="AK42" i="2"/>
  <c r="AG42" i="2"/>
  <c r="AE42" i="2"/>
  <c r="AI42" i="2"/>
  <c r="AK41" i="2"/>
  <c r="AU41" i="2"/>
  <c r="L44" i="2"/>
  <c r="P44" i="2"/>
  <c r="N44" i="2"/>
  <c r="N41" i="2"/>
  <c r="AG46" i="2"/>
  <c r="AE46" i="2"/>
  <c r="AI46" i="2"/>
  <c r="AK47" i="2"/>
  <c r="AG47" i="2"/>
  <c r="AE47" i="2"/>
  <c r="AI47" i="2"/>
  <c r="AK46" i="2"/>
  <c r="AU46" i="2"/>
  <c r="L49" i="2"/>
  <c r="P49" i="2"/>
  <c r="N49" i="2"/>
  <c r="N46" i="2"/>
  <c r="P54" i="2"/>
  <c r="N54" i="2"/>
  <c r="N51" i="2"/>
  <c r="P59" i="2"/>
  <c r="N59" i="2"/>
  <c r="N56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Q9" i="2"/>
  <c r="AE10" i="2"/>
  <c r="AG10" i="2"/>
  <c r="AQ10" i="2"/>
  <c r="AB61" i="2"/>
  <c r="AA61" i="2"/>
  <c r="AA1" i="2"/>
  <c r="K3" i="2"/>
  <c r="L3" i="2"/>
  <c r="Z61" i="2"/>
  <c r="Z1" i="2"/>
  <c r="I3" i="2"/>
  <c r="J3" i="2"/>
  <c r="S61" i="2"/>
  <c r="O1" i="2"/>
  <c r="Q61" i="2"/>
  <c r="O61" i="2"/>
  <c r="L1" i="2"/>
  <c r="M61" i="2"/>
  <c r="J1" i="2"/>
  <c r="K61" i="2"/>
  <c r="B1" i="2"/>
  <c r="N9" i="2"/>
  <c r="N17" i="2"/>
  <c r="AG56" i="2"/>
  <c r="AE56" i="2"/>
  <c r="AI56" i="2"/>
  <c r="AK57" i="2"/>
  <c r="AG57" i="2"/>
  <c r="AE57" i="2"/>
  <c r="AI57" i="2"/>
  <c r="AK56" i="2"/>
  <c r="AU56" i="2"/>
  <c r="AG14" i="2"/>
  <c r="AE14" i="2"/>
  <c r="AI14" i="2"/>
  <c r="AK15" i="2"/>
  <c r="AG15" i="2"/>
  <c r="AE15" i="2"/>
  <c r="AI15" i="2"/>
  <c r="AK14" i="2"/>
  <c r="AU14" i="2"/>
  <c r="L17" i="2"/>
  <c r="P17" i="2"/>
  <c r="A54" i="2"/>
  <c r="A22" i="2"/>
  <c r="AQ36" i="2"/>
  <c r="AQ37" i="2"/>
  <c r="AO37" i="2"/>
  <c r="AQ30" i="2"/>
  <c r="AO15" i="2"/>
  <c r="AO10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AM24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<sst xmlns="http://schemas.openxmlformats.org/spreadsheetml/2006/main" count="1439" uniqueCount="322">
  <si>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</si>
  <si>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</si>
  <si>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</si>
  <si>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</si>
  <si>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</si>
  <si>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</si>
  <si>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</si>
  <si>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</si>
  <si>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</si>
  <si>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</si>
  <si>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</si>
  <si>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</si>
  <si>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</si>
  <si>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</si>
  <si>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</si>
  <si>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</si>
  <si>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</si>
  <si>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</si>
  <si>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</si>
  <si>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</si>
  <si>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</si>
  <si>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</si>
  <si>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</si>
  <si>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</si>
  <si>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</si>
  <si>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</si>
  <si>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</si>
  <si>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</si>
  <si>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</si>
  <si>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</si>
  <si>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</si>
  <si>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</si>
  <si>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</si>
  <si>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</si>
  <si>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</si>
  <si>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</si>
  <si>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</si>
  <si>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</si>
  <si>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</si>
  <si>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</si>
  <si>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</si>
  <si>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</si>
  <si>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</si>
  <si>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</si>
  <si>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</si>
  <si>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</si>
  <si>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</si>
  <si>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</si>
  <si>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</si>
  <si>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</si>
  <si>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</si>
  <si>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</si>
  <si>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</si>
  <si>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</si>
  <si>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</si>
  <si>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</si>
  <si>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</si>
  <si>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</si>
  <si>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</si>
  <si>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</si>
  <si>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</si>
  <si>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</si>
  <si>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</si>
  <si>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</si>
  <si>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</si>
  <si>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</si>
  <si>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</si>
  <si>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</si>
  <si>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</si>
  <si>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</si>
  <si>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</si>
  <si>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</si>
  <si>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</si>
  <si>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</si>
  <si>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</si>
  <si>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</si>
  <si>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</si>
  <si>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</si>
  <si>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</si>
  <si>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</si>
  <si>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</si>
  <si>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</si>
  <si>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</si>
  <si>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</si>
  <si>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</si>
  <si>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</si>
  <si>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</si>
  <si>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</si>
  <si>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</si>
  <si>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</si>
  <si>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</si>
  <si>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</si>
  <si>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</si>
  <si>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</si>
  <si>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</si>
  <si>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</si>
  <si>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</si>
  <si>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</si>
  <si>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</si>
  <si>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</si>
  <si>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</si>
  <si>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</si>
  <si>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</si>
  <si>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</si>
  <si>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</si>
  <si>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</si>
  <si>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</si>
  <si>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</si>
  <si>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</si>
  <si>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</si>
  <si>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</si>
  <si>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</si>
  <si>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</si>
  <si>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</si>
  <si>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</si>
  <si>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</si>
  <si>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</si>
  <si>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</si>
  <si>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</si>
  <si>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</si>
  <si>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</si>
  <si>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</si>
  <si>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</si>
  <si>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</si>
  <si>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</si>
  <si>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</si>
  <si>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</si>
  <si>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</si>
  <si>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</si>
  <si>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</si>
  <si>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</si>
  <si>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</si>
  <si>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</si>
  <si>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</si>
  <si>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</si>
  <si>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</si>
  <si>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</si>
  <si>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</si>
  <si>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</si>
  <si>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</si>
  <si>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</si>
  <si>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</si>
  <si>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</si>
  <si>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</si>
  <si>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</si>
  <si>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</si>
  <si>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</si>
  <si>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</si>
  <si>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</si>
  <si>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</si>
  <si>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</si>
  <si>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</si>
  <si>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</si>
  <si>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</si>
  <si>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</si>
  <si>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</si>
  <si>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</si>
  <si>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</si>
  <si>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</si>
  <si>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</si>
  <si>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</si>
  <si>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</si>
  <si>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</si>
  <si>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</si>
  <si>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</si>
  <si>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</si>
  <si>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</si>
  <si>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</si>
  <si>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</si>
  <si>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</si>
  <si>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</si>
  <si>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</si>
  <si>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</si>
  <si>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</si>
  <si>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</si>
  <si>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</si>
  <si>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</si>
  <si>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</si>
  <si>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</si>
  <si>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</si>
  <si>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</si>
  <si>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</si>
  <si>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</si>
  <si>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</si>
  <si>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</si>
  <si>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</si>
  <si>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</si>
  <si>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</si>
  <si>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</si>
  <si>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</si>
  <si>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</si>
  <si>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</si>
  <si>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</si>
  <si>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</si>
  <si>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</si>
  <si>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</si>
  <si>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</si>
  <si>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</si>
  <si>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</si>
  <si>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</si>
  <si>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</si>
  <si>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</si>
  <si>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</si>
  <si>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</si>
  <si>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</si>
  <si>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</si>
  <si>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</si>
  <si>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</si>
  <si>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</si>
  <si>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</si>
  <si>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</si>
  <si>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</si>
  <si>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</si>
  <si>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</si>
  <si>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</si>
  <si>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</si>
  <si>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</si>
  <si>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</si>
  <si>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</si>
  <si>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</si>
  <si>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</si>
  <si>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</si>
  <si>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</si>
  <si>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</si>
  <si>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</si>
  <si>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</si>
  <si>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</si>
  <si>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</si>
  <si>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</si>
  <si>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</si>
  <si>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</si>
  <si>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</si>
  <si>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</si>
  <si>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</si>
  <si>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</si>
  <si>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</si>
  <si>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</si>
  <si>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</si>
  <si>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</si>
  <si>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</si>
  <si>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</si>
  <si>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</si>
  <si>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</si>
  <si>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</si>
  <si>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</si>
  <si>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</si>
  <si>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</si>
  <si>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</si>
  <si>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</si>
  <si>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</si>
  <si>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</si>
  <si>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</si>
  <si>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</si>
  <si>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</si>
  <si>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</si>
  <si>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</si>
  <si>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</si>
  <si>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</si>
  <si>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</si>
  <si>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</si>
  <si>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</si>
  <si>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</si>
  <si>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</si>
  <si>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</si>
  <si>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</si>
  <si>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</si>
  <si>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</si>
  <si>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</si>
  <si>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</si>
  <si>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</si>
  <si>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</si>
  <si>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</si>
  <si>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</si>
  <si>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</si>
  <si>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</si>
  <si>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</si>
  <si>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</si>
  <si>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</si>
  <si>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</si>
  <si>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</si>
  <si>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</si>
  <si>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</si>
  <si>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</si>
  <si>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</si>
  <si>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</si>
  <si>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</si>
  <si>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</si>
  <si>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</si>
  <si>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</si>
  <si>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</si>
  <si>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</si>
  <si>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</si>
  <si>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</si>
  <si>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</si>
  <si>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</si>
  <si>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</si>
  <si>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</si>
  <si>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</si>
  <si>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</si>
  <si>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</si>
  <si>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D14 - Burl-2 - Southern Run </t>
  </si>
  <si>
    <t>Crown Point Danger Buoy</t>
  </si>
  <si>
    <t>Annual</t>
  </si>
  <si>
    <t>White w ORA Bands</t>
  </si>
  <si>
    <t>George Gregory  518-891-2011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</si>
  <si>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 - AID WAS OBS'D IN 2014 AT 43-55-50.000 / 073-24-52.000 which is 3.492.2 feet from PMT POSN.</t>
    </r>
  </si>
  <si>
    <t>Bulwagga Bay Obstruction Buoy A</t>
  </si>
  <si>
    <t>Bulwagga Bay Obstruction Buoy B</t>
  </si>
  <si>
    <t>Bulwagga Bay Obstruction Buoy C</t>
  </si>
  <si>
    <t>Bulwagga Bay Obstruction Buoy D</t>
  </si>
  <si>
    <t>Bulwagga Bay Obstruction Buoy E</t>
  </si>
  <si>
    <t>Bulwagga Bay Obstruction Buoy F</t>
  </si>
  <si>
    <t>Bulwagga Bay Obstruction Buoy G</t>
  </si>
  <si>
    <r>
      <t xml:space="preserve">2014 REPORT, WP </t>
    </r>
    <r>
      <rPr>
        <b/>
        <sz val="9"/>
        <color rgb="FFFF0000"/>
        <rFont val="Calibri"/>
        <family val="2"/>
        <scheme val="minor"/>
      </rPr>
      <t xml:space="preserve"> Aid has chart symbol but is not listed in the Light List.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</si>
  <si>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770.6 FT OFF STA - Aid has chart symbol but is not listed in the Light List.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</si>
  <si>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6,320.7 OFF STA -  Aid was last OBS'D in 2014 at 44-01-55.000 / 073-27-02.000. - Aid has chart symbol but is not listed in the Light List.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</si>
  <si>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5,350.4 OFF STA -  Aid was last OBS'D in 2014 at 44-01-52.000 / 073-26-58.000. Aid has chart symbol but is not listed in the Light List.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</si>
  <si>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6,077.8 OFF STA -  Aid was last OBS'D in 2014 at 44-01-49.000 / 073-27-48.000.  Aid has chart symbol but is not listed in the Light List.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</si>
  <si>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PMT POSN plots on land.  Aid was last OBS'D in 2014 at 44-01-49.000 / 073-27-48.000.  Aid has chart symbol but is not listed in the Light List.</t>
    </r>
  </si>
  <si>
    <t>Aid has chart Symbol</t>
  </si>
  <si>
    <r>
      <t xml:space="preserve">2014 REPORT, </t>
    </r>
    <r>
      <rPr>
        <b/>
        <sz val="9"/>
        <color rgb="FFFF0000"/>
        <rFont val="Calibri"/>
        <family val="2"/>
        <scheme val="minor"/>
      </rPr>
      <t xml:space="preserve">1,456.1 FT OFF STA </t>
    </r>
    <r>
      <rPr>
        <b/>
        <sz val="9"/>
        <rFont val="Calibri"/>
        <family val="2"/>
        <scheme val="minor"/>
      </rPr>
      <t xml:space="preserve">-   </t>
    </r>
    <r>
      <rPr>
        <b/>
        <sz val="9"/>
        <color rgb="FFFF0000"/>
        <rFont val="Calibri"/>
        <family val="2"/>
        <scheme val="minor"/>
      </rPr>
      <t>Aid has chart symbol but is not listed in the Light List.</t>
    </r>
  </si>
  <si>
    <t>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</si>
</sst>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2" xfId="0" applyFont="1" applyBorder="1" applyAlignment="1">
      <alignment horizontal="center" vertical="center"/>
    </xf>
    <xf numFmtId="0" fontId="1" fillId="17" borderId="110" xfId="0" applyFont="1" applyFill="1" applyBorder="1" applyAlignment="1">
      <alignment horizontal="center" vertical="center"/>
    </xf>
    <xf numFmtId="0" fontId="1" fillId="9" borderId="110" xfId="0" applyFont="1" applyFill="1" applyBorder="1" applyAlignment="1">
      <alignment horizontal="center" vertical="center"/>
    </xf>
    <xf numFmtId="0" fontId="57" fillId="18" borderId="110" xfId="0" applyFont="1" applyFill="1" applyBorder="1" applyAlignment="1">
      <alignment horizontal="center" vertical="center"/>
    </xf>
    <xf numFmtId="171" fontId="32" fillId="0" borderId="110" xfId="0" applyNumberFormat="1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2" xfId="0" applyNumberFormat="1" applyFont="1" applyBorder="1" applyAlignment="1">
      <alignment vertical="center"/>
    </xf>
    <xf numFmtId="173" fontId="10" fillId="19" borderId="112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3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3" xfId="0" applyNumberFormat="1" applyFont="1" applyFill="1" applyBorder="1" applyAlignment="1">
      <alignment vertical="center"/>
    </xf>
    <xf numFmtId="164" fontId="72" fillId="3" borderId="115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8" fillId="0" borderId="127" xfId="0" applyFont="1" applyBorder="1" applyAlignment="1" applyProtection="1">
      <alignment horizontal="center" vertical="center"/>
      <protection locked="0"/>
    </xf>
    <xf numFmtId="0" fontId="49" fillId="3" borderId="122" xfId="0" applyFont="1" applyFill="1" applyBorder="1" applyAlignment="1">
      <alignment horizontal="center" vertical="center" wrapText="1"/>
    </xf>
    <xf numFmtId="0" fontId="50" fillId="3" borderId="120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0" borderId="110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6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0" fontId="70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1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4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5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71" fontId="63" fillId="16" borderId="79" xfId="0" applyNumberFormat="1" applyFont="1" applyFill="1" applyBorder="1" applyAlignment="1">
      <alignment horizontal="left" vertical="top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0" fillId="16" borderId="42" xfId="0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09" xfId="0" applyFill="1" applyBorder="1" applyAlignment="1">
      <alignment horizontal="center" vertical="center" wrapText="1"/>
    </xf>
    <xf numFmtId="168" fontId="29" fillId="16" borderId="106" xfId="0" applyNumberFormat="1" applyFont="1" applyFill="1" applyBorder="1" applyAlignment="1">
      <alignment horizontal="center" vertical="center" wrapText="1"/>
    </xf>
    <xf numFmtId="0" fontId="0" fillId="16" borderId="107" xfId="0" applyFill="1" applyBorder="1" applyAlignment="1">
      <alignment horizontal="center" vertical="center" wrapText="1"/>
    </xf>
    <xf numFmtId="0" fontId="0" fillId="16" borderId="108" xfId="0" applyFill="1" applyBorder="1" applyAlignment="1">
      <alignment horizontal="center" vertical="center" wrapText="1"/>
    </xf>
    <xf numFmtId="0" fontId="8" fillId="16" borderId="126" xfId="0" applyFont="1" applyFill="1" applyBorder="1" applyAlignment="1">
      <alignment horizontal="center" vertical="center"/>
    </xf>
    <xf numFmtId="0" fontId="79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4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46" fillId="3" borderId="121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2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3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2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0" borderId="118" xfId="0" applyNumberFormat="1" applyFont="1" applyBorder="1" applyAlignment="1">
      <alignment horizontal="center" vertical="center" wrapText="1"/>
    </xf>
    <xf numFmtId="0" fontId="45" fillId="0" borderId="119" xfId="0" applyFont="1" applyBorder="1" applyAlignment="1">
      <alignment horizontal="center" vertical="center" wrapText="1"/>
    </xf>
    <xf numFmtId="0" fontId="99" fillId="10" borderId="4" xfId="0" applyFont="1" applyFill="1" applyBorder="1" applyAlignment="1">
      <alignment horizontal="center" vertical="center" wrapText="1"/>
    </xf>
    <xf numFmtId="0" fontId="99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21" borderId="5" xfId="0" applyFont="1" applyFill="1" applyBorder="1" applyAlignment="1">
      <alignment horizontal="center" wrapText="1"/>
    </xf>
    <xf numFmtId="0" fontId="86" fillId="21" borderId="46" xfId="0" applyFont="1" applyFill="1" applyBorder="1" applyAlignment="1">
      <alignment horizontal="center" wrapText="1"/>
    </xf>
    <xf numFmtId="0" fontId="85" fillId="21" borderId="48" xfId="0" applyFont="1" applyFill="1" applyBorder="1" applyAlignment="1">
      <alignment horizontal="center" vertical="center" wrapText="1"/>
    </xf>
    <xf numFmtId="0" fontId="86" fillId="21" borderId="10" xfId="0" applyFont="1" applyFill="1" applyBorder="1" applyAlignment="1">
      <alignment horizontal="center" wrapText="1"/>
    </xf>
    <xf numFmtId="0" fontId="86" fillId="21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24" xfId="0" applyFont="1" applyBorder="1" applyAlignment="1">
      <alignment horizontal="center" vertical="center"/>
    </xf>
    <xf numFmtId="0" fontId="45" fillId="0" borderId="125" xfId="0" applyFont="1" applyBorder="1" applyAlignment="1">
      <alignment vertical="center"/>
    </xf>
    <xf numFmtId="0" fontId="60" fillId="9" borderId="4" xfId="0" applyFont="1" applyFill="1" applyBorder="1" applyAlignment="1">
      <alignment horizontal="center" vertical="center" wrapText="1"/>
    </xf>
    <xf numFmtId="0" fontId="9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48" fillId="20" borderId="121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2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3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59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7" fillId="14" borderId="83" xfId="0" applyNumberFormat="1" applyFont="1" applyFill="1" applyBorder="1" applyAlignment="1">
      <alignment horizontal="center" vertical="center" wrapText="1"/>
    </xf>
    <xf numFmtId="0" fontId="58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1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79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168" fontId="101" fillId="16" borderId="106" xfId="0" applyNumberFormat="1" applyFont="1" applyFill="1" applyBorder="1" applyAlignment="1">
      <alignment horizontal="center" vertical="center" wrapText="1"/>
    </xf>
    <xf numFmtId="0" fontId="102" fillId="16" borderId="107" xfId="0" applyFont="1" applyFill="1" applyBorder="1" applyAlignment="1">
      <alignment horizontal="center" vertical="center" wrapText="1"/>
    </xf>
    <xf numFmtId="0" fontId="102" fillId="16" borderId="10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C17" sqref="AC17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79" customWidth="1"/>
    <col min="7" max="7" width="7.5703125" style="171" customWidth="1"/>
    <col min="8" max="8" width="4.7109375" style="122" customWidth="1"/>
    <col min="9" max="9" width="4.7109375" style="183" customWidth="1"/>
    <col min="10" max="10" width="7.5703125" style="172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24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43" t="s">
        <v>291</v>
      </c>
      <c r="B1" s="345">
        <f>K61</f>
        <v>8</v>
      </c>
      <c r="C1" s="106"/>
      <c r="D1" s="115"/>
      <c r="E1" s="347">
        <v>2018</v>
      </c>
      <c r="F1" s="348"/>
      <c r="G1" s="348"/>
      <c r="H1" s="349"/>
      <c r="I1" s="358" t="s">
        <v>238</v>
      </c>
      <c r="J1" s="399">
        <f>M61</f>
        <v>7</v>
      </c>
      <c r="K1" s="401" t="s">
        <v>239</v>
      </c>
      <c r="L1" s="403">
        <f>O61</f>
        <v>1</v>
      </c>
      <c r="M1" s="405" t="s">
        <v>240</v>
      </c>
      <c r="N1" s="399">
        <f>Q61</f>
        <v>0</v>
      </c>
      <c r="O1" s="303">
        <f>S61</f>
        <v>0</v>
      </c>
      <c r="P1" s="305" t="s">
        <v>299</v>
      </c>
      <c r="Q1" s="305"/>
      <c r="R1" s="305"/>
      <c r="S1" s="305"/>
      <c r="T1" s="305"/>
      <c r="U1" s="408">
        <v>43217</v>
      </c>
      <c r="V1" s="305"/>
      <c r="W1" s="305"/>
      <c r="X1" s="305"/>
      <c r="Y1" s="409"/>
      <c r="Z1" s="324">
        <f>Z61</f>
        <v>0</v>
      </c>
      <c r="AA1" s="324">
        <f>AA61</f>
        <v>0</v>
      </c>
      <c r="AB1" s="324">
        <f>AB61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44"/>
      <c r="B2" s="346"/>
      <c r="C2" s="219"/>
      <c r="D2" s="220"/>
      <c r="E2" s="350"/>
      <c r="F2" s="351"/>
      <c r="G2" s="351"/>
      <c r="H2" s="352"/>
      <c r="I2" s="359"/>
      <c r="J2" s="400"/>
      <c r="K2" s="402"/>
      <c r="L2" s="404"/>
      <c r="M2" s="406"/>
      <c r="N2" s="407"/>
      <c r="O2" s="304"/>
      <c r="P2" s="308" t="str">
        <f>A6</f>
        <v xml:space="preserve">D14 - Burl-2 - Southern Run </v>
      </c>
      <c r="Q2" s="308"/>
      <c r="R2" s="308"/>
      <c r="S2" s="308"/>
      <c r="T2" s="308"/>
      <c r="U2" s="321">
        <v>2018</v>
      </c>
      <c r="V2" s="322"/>
      <c r="W2" s="322"/>
      <c r="X2" s="322"/>
      <c r="Y2" s="323"/>
      <c r="Z2" s="325"/>
      <c r="AA2" s="325"/>
      <c r="AB2" s="32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37" t="s">
        <v>290</v>
      </c>
      <c r="B3" s="338"/>
      <c r="C3" s="338"/>
      <c r="D3" s="339"/>
      <c r="E3" s="353"/>
      <c r="F3" s="351"/>
      <c r="G3" s="351"/>
      <c r="H3" s="352"/>
      <c r="I3" s="356">
        <f>Z1</f>
        <v>0</v>
      </c>
      <c r="J3" s="391">
        <f>IF(I3=0,0,I3/J1)</f>
        <v>0</v>
      </c>
      <c r="K3" s="393">
        <f>AA1</f>
        <v>0</v>
      </c>
      <c r="L3" s="391">
        <f>IF(K3=0,0,K3/L1)</f>
        <v>0</v>
      </c>
      <c r="M3" s="395">
        <f>AB1</f>
        <v>0</v>
      </c>
      <c r="N3" s="391">
        <f>IF(M3=0,0,M3/N1)</f>
        <v>0</v>
      </c>
      <c r="O3" s="397" t="s">
        <v>241</v>
      </c>
      <c r="P3" s="308"/>
      <c r="Q3" s="308"/>
      <c r="R3" s="308"/>
      <c r="S3" s="308"/>
      <c r="T3" s="308"/>
      <c r="U3" s="315" t="s">
        <v>244</v>
      </c>
      <c r="V3" s="316"/>
      <c r="W3" s="316"/>
      <c r="X3" s="316"/>
      <c r="Y3" s="317"/>
      <c r="Z3" s="312" t="s">
        <v>0</v>
      </c>
      <c r="AA3" s="313"/>
      <c r="AB3" s="31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40"/>
      <c r="B4" s="341"/>
      <c r="C4" s="341"/>
      <c r="D4" s="342"/>
      <c r="E4" s="354"/>
      <c r="F4" s="354"/>
      <c r="G4" s="354"/>
      <c r="H4" s="355"/>
      <c r="I4" s="357"/>
      <c r="J4" s="392"/>
      <c r="K4" s="394"/>
      <c r="L4" s="392"/>
      <c r="M4" s="396"/>
      <c r="N4" s="392"/>
      <c r="O4" s="398"/>
      <c r="P4" s="306" t="s">
        <v>294</v>
      </c>
      <c r="Q4" s="307"/>
      <c r="R4" s="307"/>
      <c r="S4" s="307"/>
      <c r="T4" s="307"/>
      <c r="U4" s="318" t="s">
        <v>245</v>
      </c>
      <c r="V4" s="319"/>
      <c r="W4" s="319"/>
      <c r="X4" s="319"/>
      <c r="Y4" s="320"/>
      <c r="Z4" s="309"/>
      <c r="AA4" s="310"/>
      <c r="AB4" s="311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72" t="s">
        <v>0</v>
      </c>
      <c r="B5" s="373"/>
      <c r="C5" s="373"/>
      <c r="D5" s="373"/>
      <c r="E5" s="374"/>
      <c r="F5" s="374"/>
      <c r="G5" s="374"/>
      <c r="H5" s="121"/>
      <c r="I5" s="182"/>
      <c r="J5" s="378" t="s">
        <v>0</v>
      </c>
      <c r="K5" s="379"/>
      <c r="L5" s="38" t="s">
        <v>0</v>
      </c>
      <c r="M5" s="39" t="s">
        <v>0</v>
      </c>
      <c r="N5" s="375" t="s">
        <v>0</v>
      </c>
      <c r="O5" s="376"/>
      <c r="P5" s="377"/>
      <c r="Q5" s="113" t="s">
        <v>0</v>
      </c>
      <c r="R5" s="114"/>
      <c r="S5" s="114"/>
      <c r="T5" s="214"/>
      <c r="U5" s="368" t="s">
        <v>3</v>
      </c>
      <c r="V5" s="370" t="s">
        <v>239</v>
      </c>
      <c r="W5" s="326" t="s">
        <v>240</v>
      </c>
      <c r="X5" s="364" t="s">
        <v>238</v>
      </c>
      <c r="Y5" s="366" t="s">
        <v>292</v>
      </c>
      <c r="Z5" s="410" t="s">
        <v>238</v>
      </c>
      <c r="AA5" s="360" t="s">
        <v>239</v>
      </c>
      <c r="AB5" s="36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23" t="s">
        <v>300</v>
      </c>
      <c r="B6" s="424"/>
      <c r="C6" s="424"/>
      <c r="D6" s="425"/>
      <c r="E6" s="420" t="s">
        <v>296</v>
      </c>
      <c r="F6" s="421"/>
      <c r="G6" s="421"/>
      <c r="H6" s="421"/>
      <c r="I6" s="421"/>
      <c r="J6" s="422"/>
      <c r="K6" s="380" t="s">
        <v>298</v>
      </c>
      <c r="L6" s="381"/>
      <c r="M6" s="381"/>
      <c r="N6" s="381"/>
      <c r="O6" s="381"/>
      <c r="P6" s="380" t="s">
        <v>297</v>
      </c>
      <c r="Q6" s="381"/>
      <c r="R6" s="381"/>
      <c r="S6" s="381"/>
      <c r="T6" s="381"/>
      <c r="U6" s="369"/>
      <c r="V6" s="371"/>
      <c r="W6" s="327"/>
      <c r="X6" s="365"/>
      <c r="Y6" s="367"/>
      <c r="Z6" s="411"/>
      <c r="AA6" s="361"/>
      <c r="AB6" s="36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45" t="s">
        <v>254</v>
      </c>
      <c r="B7" s="246" t="s">
        <v>321</v>
      </c>
      <c r="C7" s="247"/>
      <c r="D7" s="248"/>
      <c r="E7" s="229" t="s">
        <v>249</v>
      </c>
      <c r="F7" s="230"/>
      <c r="G7" s="231"/>
      <c r="H7" s="232" t="s">
        <v>251</v>
      </c>
      <c r="I7" s="230"/>
      <c r="J7" s="249"/>
      <c r="K7" s="243" t="s">
        <v>253</v>
      </c>
      <c r="L7" s="169">
        <v>0</v>
      </c>
      <c r="M7" s="244" t="s">
        <v>16</v>
      </c>
      <c r="N7" s="175" t="s">
        <v>0</v>
      </c>
      <c r="O7" s="123"/>
      <c r="P7" s="412" t="str">
        <f>P2</f>
        <v xml:space="preserve">D14 - Burl-2 - Southern Run </v>
      </c>
      <c r="Q7" s="302"/>
      <c r="R7" s="302"/>
      <c r="S7" s="302"/>
      <c r="T7" s="302"/>
      <c r="U7" s="238"/>
      <c r="V7" s="239"/>
      <c r="W7" s="240"/>
      <c r="X7" s="241"/>
      <c r="Y7" s="239"/>
      <c r="Z7" s="241"/>
      <c r="AA7" s="239"/>
      <c r="AB7" s="242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52" t="s">
        <v>0</v>
      </c>
      <c r="B8" s="131" t="s">
        <v>11</v>
      </c>
      <c r="C8" s="132"/>
      <c r="D8" s="133" t="s">
        <v>12</v>
      </c>
      <c r="E8" s="176" t="s">
        <v>246</v>
      </c>
      <c r="F8" s="176" t="s">
        <v>247</v>
      </c>
      <c r="G8" s="170" t="s">
        <v>248</v>
      </c>
      <c r="H8" s="133" t="s">
        <v>246</v>
      </c>
      <c r="I8" s="176" t="s">
        <v>247</v>
      </c>
      <c r="J8" s="170" t="s">
        <v>248</v>
      </c>
      <c r="K8" s="134" t="s">
        <v>13</v>
      </c>
      <c r="L8" s="135" t="s">
        <v>14</v>
      </c>
      <c r="M8" s="135" t="s">
        <v>17</v>
      </c>
      <c r="N8" s="136" t="s">
        <v>15</v>
      </c>
      <c r="O8" s="137" t="s">
        <v>19</v>
      </c>
      <c r="P8" s="222" t="s">
        <v>256</v>
      </c>
      <c r="Q8" s="140" t="s">
        <v>252</v>
      </c>
      <c r="R8" s="141"/>
      <c r="S8" s="142" t="s">
        <v>191</v>
      </c>
      <c r="T8" s="215"/>
      <c r="U8" s="261" t="s">
        <v>286</v>
      </c>
      <c r="V8" s="289"/>
      <c r="W8" s="289"/>
      <c r="X8" s="289"/>
      <c r="Y8" s="290"/>
      <c r="Z8" s="143" t="s">
        <v>238</v>
      </c>
      <c r="AA8" s="144" t="s">
        <v>239</v>
      </c>
      <c r="AB8" s="145" t="s">
        <v>240</v>
      </c>
      <c r="AC8" s="191"/>
      <c r="AD8" s="192"/>
      <c r="AE8" s="193" t="s">
        <v>266</v>
      </c>
      <c r="AF8" s="192"/>
      <c r="AG8" s="193" t="s">
        <v>267</v>
      </c>
      <c r="AH8" s="193"/>
      <c r="AI8" s="193" t="s">
        <v>268</v>
      </c>
      <c r="AJ8" s="192"/>
      <c r="AK8" s="194" t="s">
        <v>278</v>
      </c>
      <c r="AL8" s="192"/>
      <c r="AM8" s="193"/>
      <c r="AN8" s="192"/>
      <c r="AO8" s="194" t="s">
        <v>275</v>
      </c>
      <c r="AP8" s="192"/>
      <c r="AQ8" s="193"/>
      <c r="AR8" s="192"/>
      <c r="AS8" s="193"/>
      <c r="AT8" s="192"/>
      <c r="AU8" s="192"/>
    </row>
    <row r="9" spans="1:47" s="120" customFormat="1" ht="15.95" customHeight="1" thickBot="1" x14ac:dyDescent="0.3">
      <c r="A9" s="124">
        <v>0</v>
      </c>
      <c r="B9" s="266" t="s">
        <v>301</v>
      </c>
      <c r="C9" s="269" t="s">
        <v>0</v>
      </c>
      <c r="D9" s="250" t="s">
        <v>237</v>
      </c>
      <c r="E9" s="177">
        <v>43</v>
      </c>
      <c r="F9" s="180">
        <v>56</v>
      </c>
      <c r="G9" s="125">
        <v>24</v>
      </c>
      <c r="H9" s="161">
        <v>73</v>
      </c>
      <c r="I9" s="180">
        <v>25</v>
      </c>
      <c r="J9" s="125">
        <v>0</v>
      </c>
      <c r="K9" s="272" t="s">
        <v>0</v>
      </c>
      <c r="L9" s="274" t="s">
        <v>0</v>
      </c>
      <c r="M9" s="276">
        <v>0</v>
      </c>
      <c r="N9" s="413">
        <f>IF(M9=" "," ",(M9+$L$7-M12))</f>
        <v>0</v>
      </c>
      <c r="O9" s="279">
        <v>500</v>
      </c>
      <c r="P9" s="300">
        <v>42994</v>
      </c>
      <c r="Q9" s="138" t="s">
        <v>302</v>
      </c>
      <c r="R9" s="139" t="s">
        <v>0</v>
      </c>
      <c r="S9" s="281" t="s">
        <v>303</v>
      </c>
      <c r="T9" s="282"/>
      <c r="U9" s="216">
        <v>1</v>
      </c>
      <c r="V9" s="146">
        <v>1</v>
      </c>
      <c r="W9" s="147" t="s">
        <v>0</v>
      </c>
      <c r="X9" s="148" t="s">
        <v>0</v>
      </c>
      <c r="Y9" s="149" t="s">
        <v>0</v>
      </c>
      <c r="Z9" s="150" t="s">
        <v>0</v>
      </c>
      <c r="AA9" s="146" t="s">
        <v>0</v>
      </c>
      <c r="AB9" s="151" t="s">
        <v>0</v>
      </c>
      <c r="AC9" s="195" t="s">
        <v>237</v>
      </c>
      <c r="AD9" s="198" t="s">
        <v>262</v>
      </c>
      <c r="AE9" s="197">
        <f>E9+F9/60+G9/60/60</f>
        <v>43.94</v>
      </c>
      <c r="AF9" s="198" t="s">
        <v>263</v>
      </c>
      <c r="AG9" s="197">
        <f>E12+F12/60+G12/60/60</f>
        <v>43.93055555555555</v>
      </c>
      <c r="AH9" s="204" t="s">
        <v>269</v>
      </c>
      <c r="AI9" s="197">
        <f>AG9-AE9</f>
        <v>-9.4444444444476972E-3</v>
      </c>
      <c r="AJ9" s="198" t="s">
        <v>271</v>
      </c>
      <c r="AK9" s="197">
        <f>AI10*60*COS((AE9+AG9)/2*PI()/180)</f>
        <v>9.6016538445822044E-2</v>
      </c>
      <c r="AL9" s="198" t="s">
        <v>273</v>
      </c>
      <c r="AM9" s="197">
        <f>AK9*6076.12</f>
        <v>583.40800958142825</v>
      </c>
      <c r="AN9" s="198" t="s">
        <v>276</v>
      </c>
      <c r="AO9" s="197">
        <f>AE9*PI()/180</f>
        <v>0.76689767332630843</v>
      </c>
      <c r="AP9" s="198" t="s">
        <v>279</v>
      </c>
      <c r="AQ9" s="197">
        <f>AG9 *PI()/180</f>
        <v>0.76673283667473102</v>
      </c>
      <c r="AR9" s="198" t="s">
        <v>281</v>
      </c>
      <c r="AS9" s="197">
        <f>1*ATAN2(COS(AO9)*SIN(AQ9)-SIN(AO9)*COS(AQ9)*COS(AQ10-AO10),SIN(AQ10-AO10)*COS(AQ9))</f>
        <v>-2.9737324380178176</v>
      </c>
      <c r="AT9" s="199" t="s">
        <v>284</v>
      </c>
      <c r="AU9" s="205">
        <f>SQRT(AK10*AK10+AK9*AK9)</f>
        <v>0.57474367048837549</v>
      </c>
    </row>
    <row r="10" spans="1:47" s="120" customFormat="1" ht="15.95" customHeight="1" thickTop="1" thickBot="1" x14ac:dyDescent="0.3">
      <c r="A10" s="168">
        <v>200100219650</v>
      </c>
      <c r="B10" s="267"/>
      <c r="C10" s="270"/>
      <c r="D10" s="250" t="s">
        <v>242</v>
      </c>
      <c r="E10" s="255" t="s">
        <v>260</v>
      </c>
      <c r="F10" s="256"/>
      <c r="G10" s="256"/>
      <c r="H10" s="256"/>
      <c r="I10" s="256"/>
      <c r="J10" s="257"/>
      <c r="K10" s="273"/>
      <c r="L10" s="275"/>
      <c r="M10" s="276"/>
      <c r="N10" s="414"/>
      <c r="O10" s="280"/>
      <c r="P10" s="301"/>
      <c r="Q10" s="415" t="s">
        <v>305</v>
      </c>
      <c r="R10" s="416"/>
      <c r="S10" s="416"/>
      <c r="T10" s="416"/>
      <c r="U10" s="382" t="s">
        <v>289</v>
      </c>
      <c r="V10" s="383"/>
      <c r="W10" s="383"/>
      <c r="X10" s="383"/>
      <c r="Y10" s="384"/>
      <c r="Z10" s="328" t="s">
        <v>304</v>
      </c>
      <c r="AA10" s="329"/>
      <c r="AB10" s="330"/>
      <c r="AC10" s="195" t="s">
        <v>192</v>
      </c>
      <c r="AD10" s="198" t="s">
        <v>264</v>
      </c>
      <c r="AE10" s="197">
        <f>H9+I9/60+J9/60/60</f>
        <v>73.416666666666671</v>
      </c>
      <c r="AF10" s="198" t="s">
        <v>265</v>
      </c>
      <c r="AG10" s="197">
        <f>H12+I12/60+J12/60/60</f>
        <v>73.414444444444456</v>
      </c>
      <c r="AH10" s="204" t="s">
        <v>270</v>
      </c>
      <c r="AI10" s="197">
        <f>AE10-AG10</f>
        <v>2.2222222222154642E-3</v>
      </c>
      <c r="AJ10" s="198" t="s">
        <v>272</v>
      </c>
      <c r="AK10" s="197">
        <f>AI9*60</f>
        <v>-0.56666666666686183</v>
      </c>
      <c r="AL10" s="198" t="s">
        <v>274</v>
      </c>
      <c r="AM10" s="197">
        <f>AK10*6076.12</f>
        <v>-3443.1346666678523</v>
      </c>
      <c r="AN10" s="198" t="s">
        <v>277</v>
      </c>
      <c r="AO10" s="197">
        <f>AE10*PI()/180</f>
        <v>1.2813625591725035</v>
      </c>
      <c r="AP10" s="198" t="s">
        <v>280</v>
      </c>
      <c r="AQ10" s="197">
        <f>AG10*PI()/180</f>
        <v>1.281323774078015</v>
      </c>
      <c r="AR10" s="198" t="s">
        <v>282</v>
      </c>
      <c r="AS10" s="196">
        <f>IF(360+AS9/(2*PI())*360&gt;360,AS9/(PI())*360,360+AS9/(2*PI())*360)</f>
        <v>189.61768190043037</v>
      </c>
      <c r="AT10" s="200"/>
      <c r="AU10" s="200"/>
    </row>
    <row r="11" spans="1:47" s="120" customFormat="1" ht="15.95" customHeight="1" thickBot="1" x14ac:dyDescent="0.3">
      <c r="A11" s="165">
        <v>1</v>
      </c>
      <c r="B11" s="267"/>
      <c r="C11" s="270"/>
      <c r="D11" s="250" t="s">
        <v>243</v>
      </c>
      <c r="E11" s="258" t="s">
        <v>259</v>
      </c>
      <c r="F11" s="259"/>
      <c r="G11" s="259"/>
      <c r="H11" s="259"/>
      <c r="I11" s="259"/>
      <c r="J11" s="260"/>
      <c r="K11" s="126" t="s">
        <v>16</v>
      </c>
      <c r="L11" s="213" t="s">
        <v>285</v>
      </c>
      <c r="M11" s="127" t="s">
        <v>250</v>
      </c>
      <c r="N11" s="128" t="s">
        <v>4</v>
      </c>
      <c r="O11" s="129" t="s">
        <v>18</v>
      </c>
      <c r="P11" s="223" t="s">
        <v>188</v>
      </c>
      <c r="Q11" s="417"/>
      <c r="R11" s="416"/>
      <c r="S11" s="416"/>
      <c r="T11" s="416"/>
      <c r="U11" s="385"/>
      <c r="V11" s="386"/>
      <c r="W11" s="386"/>
      <c r="X11" s="386"/>
      <c r="Y11" s="387"/>
      <c r="Z11" s="331"/>
      <c r="AA11" s="332"/>
      <c r="AB11" s="333"/>
      <c r="AC11" s="201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198" t="s">
        <v>283</v>
      </c>
      <c r="AS11" s="196">
        <f>61.582*ACOS(SIN(AE9)*SIN(AG9)+COS(AE9)*COS(AG9)*(AE10-AG10))*6076.12</f>
        <v>586112.02450958954</v>
      </c>
      <c r="AT11" s="200"/>
      <c r="AU11" s="200"/>
    </row>
    <row r="12" spans="1:47" s="119" customFormat="1" ht="35.1" customHeight="1" thickTop="1" thickBot="1" x14ac:dyDescent="0.3">
      <c r="A12" s="166" t="str">
        <f>IF(Z9=1,"VERIFIED",IF(AA9=1,"CHECKED",IF(V9=1,"RECHECK",IF(X9=1,"VERIFY",IF(Y9=1,"NEED APP","NOT SCHED")))))</f>
        <v>RECHECK</v>
      </c>
      <c r="B12" s="268"/>
      <c r="C12" s="271"/>
      <c r="D12" s="251" t="s">
        <v>192</v>
      </c>
      <c r="E12" s="178">
        <v>43</v>
      </c>
      <c r="F12" s="181">
        <v>55</v>
      </c>
      <c r="G12" s="174">
        <v>50</v>
      </c>
      <c r="H12" s="173">
        <v>73</v>
      </c>
      <c r="I12" s="181">
        <v>24</v>
      </c>
      <c r="J12" s="174">
        <v>52</v>
      </c>
      <c r="K12" s="130" t="s">
        <v>0</v>
      </c>
      <c r="L12" s="207">
        <f>IF(E12=" ","Not being used ",AU9*6076.12)</f>
        <v>3492.2115111278281</v>
      </c>
      <c r="M12" s="206">
        <v>0</v>
      </c>
      <c r="N12" s="253" t="str">
        <f>IF(W9=1,"Need Photo","Has a Photo")</f>
        <v>Has a Photo</v>
      </c>
      <c r="O12" s="254" t="s">
        <v>258</v>
      </c>
      <c r="P12" s="225" t="str">
        <f>IF(E12=" ","Not being used",(IF(L12&gt;O9,"OFF STA","ON STA")))</f>
        <v>OFF STA</v>
      </c>
      <c r="Q12" s="418"/>
      <c r="R12" s="419"/>
      <c r="S12" s="419"/>
      <c r="T12" s="419"/>
      <c r="U12" s="388"/>
      <c r="V12" s="389"/>
      <c r="W12" s="389"/>
      <c r="X12" s="389"/>
      <c r="Y12" s="390"/>
      <c r="Z12" s="334"/>
      <c r="AA12" s="335"/>
      <c r="AB12" s="336"/>
      <c r="AC12" s="202"/>
      <c r="AD12" s="203"/>
      <c r="AE12" s="203"/>
      <c r="AF12" s="203"/>
      <c r="AG12" s="203" t="s">
        <v>0</v>
      </c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 t="s">
        <v>0</v>
      </c>
      <c r="AT12" s="203"/>
      <c r="AU12" s="203"/>
    </row>
    <row r="13" spans="1:47" s="117" customFormat="1" ht="9" customHeight="1" thickTop="1" thickBot="1" x14ac:dyDescent="0.3">
      <c r="A13" s="252" t="s">
        <v>0</v>
      </c>
      <c r="B13" s="131" t="s">
        <v>11</v>
      </c>
      <c r="C13" s="132"/>
      <c r="D13" s="133" t="s">
        <v>12</v>
      </c>
      <c r="E13" s="176" t="s">
        <v>246</v>
      </c>
      <c r="F13" s="176" t="s">
        <v>247</v>
      </c>
      <c r="G13" s="170" t="s">
        <v>248</v>
      </c>
      <c r="H13" s="133" t="s">
        <v>246</v>
      </c>
      <c r="I13" s="176" t="s">
        <v>247</v>
      </c>
      <c r="J13" s="170" t="s">
        <v>248</v>
      </c>
      <c r="K13" s="134" t="s">
        <v>13</v>
      </c>
      <c r="L13" s="135" t="s">
        <v>14</v>
      </c>
      <c r="M13" s="135" t="s">
        <v>17</v>
      </c>
      <c r="N13" s="136" t="s">
        <v>15</v>
      </c>
      <c r="O13" s="137" t="s">
        <v>19</v>
      </c>
      <c r="P13" s="222" t="s">
        <v>256</v>
      </c>
      <c r="Q13" s="140" t="s">
        <v>252</v>
      </c>
      <c r="R13" s="141"/>
      <c r="S13" s="142" t="s">
        <v>191</v>
      </c>
      <c r="T13" s="215"/>
      <c r="U13" s="261" t="s">
        <v>286</v>
      </c>
      <c r="V13" s="289"/>
      <c r="W13" s="289"/>
      <c r="X13" s="289"/>
      <c r="Y13" s="290"/>
      <c r="Z13" s="143" t="s">
        <v>238</v>
      </c>
      <c r="AA13" s="144" t="s">
        <v>239</v>
      </c>
      <c r="AB13" s="145" t="s">
        <v>240</v>
      </c>
      <c r="AC13" s="191"/>
      <c r="AD13" s="192"/>
      <c r="AE13" s="193" t="s">
        <v>266</v>
      </c>
      <c r="AF13" s="192"/>
      <c r="AG13" s="193" t="s">
        <v>267</v>
      </c>
      <c r="AH13" s="193"/>
      <c r="AI13" s="193" t="s">
        <v>268</v>
      </c>
      <c r="AJ13" s="192"/>
      <c r="AK13" s="194" t="s">
        <v>278</v>
      </c>
      <c r="AL13" s="192"/>
      <c r="AM13" s="193"/>
      <c r="AN13" s="192"/>
      <c r="AO13" s="194" t="s">
        <v>275</v>
      </c>
      <c r="AP13" s="192"/>
      <c r="AQ13" s="193"/>
      <c r="AR13" s="192"/>
      <c r="AS13" s="193"/>
      <c r="AT13" s="192"/>
      <c r="AU13" s="192"/>
    </row>
    <row r="14" spans="1:47" s="120" customFormat="1" ht="15.95" customHeight="1" thickBot="1" x14ac:dyDescent="0.3">
      <c r="A14" s="124">
        <v>0</v>
      </c>
      <c r="B14" s="266" t="s">
        <v>306</v>
      </c>
      <c r="C14" s="269" t="s">
        <v>0</v>
      </c>
      <c r="D14" s="250" t="s">
        <v>237</v>
      </c>
      <c r="E14" s="177">
        <v>44</v>
      </c>
      <c r="F14" s="180">
        <v>1</v>
      </c>
      <c r="G14" s="125">
        <v>53</v>
      </c>
      <c r="H14" s="161">
        <v>73</v>
      </c>
      <c r="I14" s="180">
        <v>27</v>
      </c>
      <c r="J14" s="125">
        <v>25</v>
      </c>
      <c r="K14" s="272" t="s">
        <v>0</v>
      </c>
      <c r="L14" s="274" t="s">
        <v>0</v>
      </c>
      <c r="M14" s="276">
        <v>8</v>
      </c>
      <c r="N14" s="413">
        <f>IF(M14=" "," ",(M14+$L$7-M17))</f>
        <v>8</v>
      </c>
      <c r="O14" s="279">
        <v>500</v>
      </c>
      <c r="P14" s="500">
        <v>41813</v>
      </c>
      <c r="Q14" s="138" t="s">
        <v>302</v>
      </c>
      <c r="R14" s="139" t="s">
        <v>0</v>
      </c>
      <c r="S14" s="281" t="s">
        <v>303</v>
      </c>
      <c r="T14" s="282"/>
      <c r="U14" s="216">
        <v>1</v>
      </c>
      <c r="V14" s="146" t="s">
        <v>0</v>
      </c>
      <c r="W14" s="147" t="s">
        <v>0</v>
      </c>
      <c r="X14" s="148">
        <v>1</v>
      </c>
      <c r="Y14" s="149" t="s">
        <v>0</v>
      </c>
      <c r="Z14" s="150" t="s">
        <v>0</v>
      </c>
      <c r="AA14" s="146" t="s">
        <v>0</v>
      </c>
      <c r="AB14" s="151" t="s">
        <v>0</v>
      </c>
      <c r="AC14" s="195" t="s">
        <v>237</v>
      </c>
      <c r="AD14" s="198" t="s">
        <v>262</v>
      </c>
      <c r="AE14" s="197">
        <f>E14+F14/60+G14/60/60</f>
        <v>44.031388888888891</v>
      </c>
      <c r="AF14" s="198" t="s">
        <v>263</v>
      </c>
      <c r="AG14" s="197">
        <f>E17+F17/60+G17/60/60</f>
        <v>44.030277777777776</v>
      </c>
      <c r="AH14" s="204" t="s">
        <v>269</v>
      </c>
      <c r="AI14" s="197">
        <f>AG14-AE14</f>
        <v>-1.1111111111148375E-3</v>
      </c>
      <c r="AJ14" s="198" t="s">
        <v>271</v>
      </c>
      <c r="AK14" s="197">
        <f>AI15*60*COS((AE14+AG14)/2*PI()/180)</f>
        <v>-0.27560358370267263</v>
      </c>
      <c r="AL14" s="198" t="s">
        <v>273</v>
      </c>
      <c r="AM14" s="197">
        <f>AK14*6076.12</f>
        <v>-1674.6004470074831</v>
      </c>
      <c r="AN14" s="198" t="s">
        <v>276</v>
      </c>
      <c r="AO14" s="197">
        <f>AE14*PI()/180</f>
        <v>0.76849271033715871</v>
      </c>
      <c r="AP14" s="198" t="s">
        <v>279</v>
      </c>
      <c r="AQ14" s="197">
        <f>AG14 *PI()/180</f>
        <v>0.76847331778991446</v>
      </c>
      <c r="AR14" s="198" t="s">
        <v>281</v>
      </c>
      <c r="AS14" s="197">
        <f>1*ATAN2(COS(AO14)*SIN(AQ14)-SIN(AO14)*COS(AQ14)*COS(AQ15-AO15),SIN(AQ15-AO15)*COS(AQ14))</f>
        <v>1.8080919922537444</v>
      </c>
      <c r="AT14" s="199" t="s">
        <v>284</v>
      </c>
      <c r="AU14" s="205">
        <f>SQRT(AK15*AK15+AK14*AK14)</f>
        <v>0.28355207598293181</v>
      </c>
    </row>
    <row r="15" spans="1:47" s="120" customFormat="1" ht="15.95" customHeight="1" thickTop="1" thickBot="1" x14ac:dyDescent="0.3">
      <c r="A15" s="168">
        <v>200100219536</v>
      </c>
      <c r="B15" s="267"/>
      <c r="C15" s="270"/>
      <c r="D15" s="250" t="s">
        <v>242</v>
      </c>
      <c r="E15" s="255" t="s">
        <v>260</v>
      </c>
      <c r="F15" s="256"/>
      <c r="G15" s="256"/>
      <c r="H15" s="256"/>
      <c r="I15" s="256"/>
      <c r="J15" s="257"/>
      <c r="K15" s="273"/>
      <c r="L15" s="275"/>
      <c r="M15" s="276"/>
      <c r="N15" s="414"/>
      <c r="O15" s="280"/>
      <c r="P15" s="501"/>
      <c r="Q15" s="415" t="s">
        <v>318</v>
      </c>
      <c r="R15" s="416"/>
      <c r="S15" s="416"/>
      <c r="T15" s="416"/>
      <c r="U15" s="382" t="s">
        <v>288</v>
      </c>
      <c r="V15" s="383"/>
      <c r="W15" s="383"/>
      <c r="X15" s="383"/>
      <c r="Y15" s="384"/>
      <c r="Z15" s="328" t="s">
        <v>304</v>
      </c>
      <c r="AA15" s="329"/>
      <c r="AB15" s="330"/>
      <c r="AC15" s="195" t="s">
        <v>192</v>
      </c>
      <c r="AD15" s="198" t="s">
        <v>264</v>
      </c>
      <c r="AE15" s="197">
        <f>H14+I14/60+J14/60/60</f>
        <v>73.456944444444446</v>
      </c>
      <c r="AF15" s="198" t="s">
        <v>265</v>
      </c>
      <c r="AG15" s="197">
        <f>H17+I17/60+J17/60/60</f>
        <v>73.463333333333338</v>
      </c>
      <c r="AH15" s="204" t="s">
        <v>270</v>
      </c>
      <c r="AI15" s="197">
        <f>AE15-AG15</f>
        <v>-6.3888888888925521E-3</v>
      </c>
      <c r="AJ15" s="198" t="s">
        <v>272</v>
      </c>
      <c r="AK15" s="197">
        <f>AI14*60</f>
        <v>-6.6666666666890251E-2</v>
      </c>
      <c r="AL15" s="198" t="s">
        <v>274</v>
      </c>
      <c r="AM15" s="197">
        <f>AK15*6076.12</f>
        <v>-405.0746666680252</v>
      </c>
      <c r="AN15" s="198" t="s">
        <v>277</v>
      </c>
      <c r="AO15" s="197">
        <f>AE15*PI()/180</f>
        <v>1.2820655390101126</v>
      </c>
      <c r="AP15" s="198" t="s">
        <v>280</v>
      </c>
      <c r="AQ15" s="197">
        <f>AG15*PI()/180</f>
        <v>1.2821770461567676</v>
      </c>
      <c r="AR15" s="198" t="s">
        <v>282</v>
      </c>
      <c r="AS15" s="196">
        <f>IF(360+AS14/(2*PI())*360&gt;360,AS14/(PI())*360,360+AS14/(2*PI())*360)</f>
        <v>207.19208025508058</v>
      </c>
      <c r="AT15" s="200"/>
      <c r="AU15" s="200"/>
    </row>
    <row r="16" spans="1:47" s="120" customFormat="1" ht="15.95" customHeight="1" thickBot="1" x14ac:dyDescent="0.3">
      <c r="A16" s="165">
        <v>2</v>
      </c>
      <c r="B16" s="267"/>
      <c r="C16" s="270"/>
      <c r="D16" s="250" t="s">
        <v>243</v>
      </c>
      <c r="E16" s="502" t="s">
        <v>319</v>
      </c>
      <c r="F16" s="503"/>
      <c r="G16" s="503"/>
      <c r="H16" s="503"/>
      <c r="I16" s="503"/>
      <c r="J16" s="504"/>
      <c r="K16" s="126" t="s">
        <v>16</v>
      </c>
      <c r="L16" s="213" t="s">
        <v>285</v>
      </c>
      <c r="M16" s="127" t="s">
        <v>250</v>
      </c>
      <c r="N16" s="128" t="s">
        <v>4</v>
      </c>
      <c r="O16" s="129" t="s">
        <v>18</v>
      </c>
      <c r="P16" s="223" t="s">
        <v>188</v>
      </c>
      <c r="Q16" s="417"/>
      <c r="R16" s="416"/>
      <c r="S16" s="416"/>
      <c r="T16" s="416"/>
      <c r="U16" s="385"/>
      <c r="V16" s="386"/>
      <c r="W16" s="386"/>
      <c r="X16" s="386"/>
      <c r="Y16" s="387"/>
      <c r="Z16" s="331"/>
      <c r="AA16" s="332"/>
      <c r="AB16" s="333"/>
      <c r="AC16" s="201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198" t="s">
        <v>283</v>
      </c>
      <c r="AS16" s="196">
        <f>61.582*ACOS(SIN(AE14)*SIN(AG14)+COS(AE14)*COS(AG14)*(AE15-AG15))*6076.12</f>
        <v>589264.27331622259</v>
      </c>
      <c r="AT16" s="200"/>
      <c r="AU16" s="200"/>
    </row>
    <row r="17" spans="1:47" s="119" customFormat="1" ht="35.1" customHeight="1" thickTop="1" thickBot="1" x14ac:dyDescent="0.3">
      <c r="A17" s="166" t="str">
        <f>IF(Z14=1,"VERIFIED",IF(AA14=1,"CHECKED",IF(V14=1,"RECHECK",IF(X14=1,"VERIFY",IF(Y14=1,"NEED APP","NOT SCHED")))))</f>
        <v>VERIFY</v>
      </c>
      <c r="B17" s="268"/>
      <c r="C17" s="271"/>
      <c r="D17" s="251" t="s">
        <v>192</v>
      </c>
      <c r="E17" s="178">
        <v>44</v>
      </c>
      <c r="F17" s="181">
        <v>1</v>
      </c>
      <c r="G17" s="174">
        <v>49</v>
      </c>
      <c r="H17" s="173">
        <v>73</v>
      </c>
      <c r="I17" s="181">
        <v>27</v>
      </c>
      <c r="J17" s="174">
        <v>48</v>
      </c>
      <c r="K17" s="130" t="str">
        <f>$N$7</f>
        <v xml:space="preserve"> </v>
      </c>
      <c r="L17" s="207">
        <f>IF(E17=" ","Not being used ",AU14*6076.12)</f>
        <v>1722.8964399214117</v>
      </c>
      <c r="M17" s="206">
        <v>0</v>
      </c>
      <c r="N17" s="152" t="str">
        <f>IF(W14=1,"Need Photo","Has Photo")</f>
        <v>Has Photo</v>
      </c>
      <c r="O17" s="167" t="s">
        <v>258</v>
      </c>
      <c r="P17" s="225" t="str">
        <f>IF(E17=" ","Not being used",(IF(L17&gt;O14,"OFF STA","ON STA")))</f>
        <v>OFF STA</v>
      </c>
      <c r="Q17" s="418"/>
      <c r="R17" s="419"/>
      <c r="S17" s="419"/>
      <c r="T17" s="419"/>
      <c r="U17" s="388"/>
      <c r="V17" s="389"/>
      <c r="W17" s="389"/>
      <c r="X17" s="389"/>
      <c r="Y17" s="390"/>
      <c r="Z17" s="334"/>
      <c r="AA17" s="335"/>
      <c r="AB17" s="336"/>
      <c r="AC17" s="118"/>
    </row>
    <row r="18" spans="1:47" s="117" customFormat="1" ht="9" customHeight="1" thickTop="1" thickBot="1" x14ac:dyDescent="0.3">
      <c r="A18" s="252" t="s">
        <v>0</v>
      </c>
      <c r="B18" s="131" t="s">
        <v>11</v>
      </c>
      <c r="C18" s="132"/>
      <c r="D18" s="133" t="s">
        <v>12</v>
      </c>
      <c r="E18" s="176" t="s">
        <v>246</v>
      </c>
      <c r="F18" s="176" t="s">
        <v>247</v>
      </c>
      <c r="G18" s="170" t="s">
        <v>248</v>
      </c>
      <c r="H18" s="133" t="s">
        <v>246</v>
      </c>
      <c r="I18" s="176" t="s">
        <v>247</v>
      </c>
      <c r="J18" s="170" t="s">
        <v>248</v>
      </c>
      <c r="K18" s="134" t="s">
        <v>13</v>
      </c>
      <c r="L18" s="135" t="s">
        <v>14</v>
      </c>
      <c r="M18" s="135" t="s">
        <v>17</v>
      </c>
      <c r="N18" s="136" t="s">
        <v>15</v>
      </c>
      <c r="O18" s="137" t="s">
        <v>19</v>
      </c>
      <c r="P18" s="222" t="s">
        <v>256</v>
      </c>
      <c r="Q18" s="140" t="s">
        <v>252</v>
      </c>
      <c r="R18" s="141"/>
      <c r="S18" s="142" t="s">
        <v>191</v>
      </c>
      <c r="T18" s="215"/>
      <c r="U18" s="261" t="s">
        <v>286</v>
      </c>
      <c r="V18" s="289"/>
      <c r="W18" s="289"/>
      <c r="X18" s="289"/>
      <c r="Y18" s="290"/>
      <c r="Z18" s="143" t="s">
        <v>238</v>
      </c>
      <c r="AA18" s="144" t="s">
        <v>239</v>
      </c>
      <c r="AB18" s="145" t="s">
        <v>240</v>
      </c>
      <c r="AC18" s="191"/>
      <c r="AD18" s="192"/>
      <c r="AE18" s="193" t="s">
        <v>266</v>
      </c>
      <c r="AF18" s="192"/>
      <c r="AG18" s="193" t="s">
        <v>267</v>
      </c>
      <c r="AH18" s="193"/>
      <c r="AI18" s="193" t="s">
        <v>268</v>
      </c>
      <c r="AJ18" s="192"/>
      <c r="AK18" s="194" t="s">
        <v>278</v>
      </c>
      <c r="AL18" s="192"/>
      <c r="AM18" s="193"/>
      <c r="AN18" s="192"/>
      <c r="AO18" s="194" t="s">
        <v>275</v>
      </c>
      <c r="AP18" s="192"/>
      <c r="AQ18" s="193"/>
      <c r="AR18" s="192"/>
      <c r="AS18" s="193"/>
      <c r="AT18" s="192"/>
      <c r="AU18" s="192"/>
    </row>
    <row r="19" spans="1:47" s="120" customFormat="1" ht="15.95" customHeight="1" thickBot="1" x14ac:dyDescent="0.3">
      <c r="A19" s="124">
        <v>0</v>
      </c>
      <c r="B19" s="266" t="s">
        <v>307</v>
      </c>
      <c r="C19" s="269" t="s">
        <v>0</v>
      </c>
      <c r="D19" s="250" t="s">
        <v>237</v>
      </c>
      <c r="E19" s="177">
        <v>44</v>
      </c>
      <c r="F19" s="180">
        <v>1</v>
      </c>
      <c r="G19" s="125">
        <v>0</v>
      </c>
      <c r="H19" s="161">
        <v>73</v>
      </c>
      <c r="I19" s="180">
        <v>27</v>
      </c>
      <c r="J19" s="125">
        <v>7</v>
      </c>
      <c r="K19" s="272" t="s">
        <v>0</v>
      </c>
      <c r="L19" s="274" t="s">
        <v>0</v>
      </c>
      <c r="M19" s="276">
        <v>8</v>
      </c>
      <c r="N19" s="277">
        <f>IF(M19=" "," ",(M19+$L$7-M22))</f>
        <v>8</v>
      </c>
      <c r="O19" s="279">
        <v>500</v>
      </c>
      <c r="P19" s="500">
        <v>41813</v>
      </c>
      <c r="Q19" s="138" t="s">
        <v>302</v>
      </c>
      <c r="R19" s="139" t="s">
        <v>0</v>
      </c>
      <c r="S19" s="281" t="s">
        <v>303</v>
      </c>
      <c r="T19" s="282"/>
      <c r="U19" s="216">
        <v>1</v>
      </c>
      <c r="V19" s="146" t="s">
        <v>0</v>
      </c>
      <c r="W19" s="147" t="s">
        <v>0</v>
      </c>
      <c r="X19" s="148">
        <v>1</v>
      </c>
      <c r="Y19" s="149" t="s">
        <v>0</v>
      </c>
      <c r="Z19" s="150" t="s">
        <v>0</v>
      </c>
      <c r="AA19" s="146" t="s">
        <v>0</v>
      </c>
      <c r="AB19" s="151" t="s">
        <v>0</v>
      </c>
      <c r="AC19" s="195" t="s">
        <v>237</v>
      </c>
      <c r="AD19" s="198" t="s">
        <v>262</v>
      </c>
      <c r="AE19" s="197">
        <f>E19+F19/60+G19/60/60</f>
        <v>44.016666666666666</v>
      </c>
      <c r="AF19" s="198" t="s">
        <v>263</v>
      </c>
      <c r="AG19" s="197">
        <f>E22+F22/60+G22/60/60</f>
        <v>44.030833333333334</v>
      </c>
      <c r="AH19" s="204" t="s">
        <v>269</v>
      </c>
      <c r="AI19" s="197">
        <f>AG19-AE19</f>
        <v>1.4166666666667993E-2</v>
      </c>
      <c r="AJ19" s="198" t="s">
        <v>271</v>
      </c>
      <c r="AK19" s="197">
        <f>AI20*60*COS((AE19+AG19)/2*PI()/180)</f>
        <v>-0.52730464728208337</v>
      </c>
      <c r="AL19" s="198" t="s">
        <v>273</v>
      </c>
      <c r="AM19" s="197">
        <f>AK19*6076.12</f>
        <v>-3203.9663134436123</v>
      </c>
      <c r="AN19" s="198" t="s">
        <v>276</v>
      </c>
      <c r="AO19" s="197">
        <f>AE19*PI()/180</f>
        <v>0.7682357590861707</v>
      </c>
      <c r="AP19" s="198" t="s">
        <v>279</v>
      </c>
      <c r="AQ19" s="197">
        <f>AG19 *PI()/180</f>
        <v>0.76848301406353647</v>
      </c>
      <c r="AR19" s="198" t="s">
        <v>281</v>
      </c>
      <c r="AS19" s="197">
        <f>1*ATAN2(COS(AO19)*SIN(AQ19)-SIN(AO19)*COS(AQ19)*COS(AQ20-AO20),SIN(AQ20-AO20)*COS(AQ19))</f>
        <v>0.55518045615630773</v>
      </c>
      <c r="AT19" s="199" t="s">
        <v>284</v>
      </c>
      <c r="AU19" s="205">
        <f>SQRT(AK20*AK20+AK19*AK19)</f>
        <v>1.0002750576943411</v>
      </c>
    </row>
    <row r="20" spans="1:47" s="120" customFormat="1" ht="15.95" customHeight="1" thickTop="1" thickBot="1" x14ac:dyDescent="0.3">
      <c r="A20" s="168">
        <v>200100219537</v>
      </c>
      <c r="B20" s="267"/>
      <c r="C20" s="270"/>
      <c r="D20" s="250" t="s">
        <v>242</v>
      </c>
      <c r="E20" s="255" t="s">
        <v>260</v>
      </c>
      <c r="F20" s="256"/>
      <c r="G20" s="256"/>
      <c r="H20" s="256"/>
      <c r="I20" s="256"/>
      <c r="J20" s="257"/>
      <c r="K20" s="273"/>
      <c r="L20" s="275"/>
      <c r="M20" s="276"/>
      <c r="N20" s="278"/>
      <c r="O20" s="280"/>
      <c r="P20" s="501"/>
      <c r="Q20" s="415" t="s">
        <v>317</v>
      </c>
      <c r="R20" s="416"/>
      <c r="S20" s="416"/>
      <c r="T20" s="416"/>
      <c r="U20" s="382" t="s">
        <v>288</v>
      </c>
      <c r="V20" s="383"/>
      <c r="W20" s="383"/>
      <c r="X20" s="383"/>
      <c r="Y20" s="384"/>
      <c r="Z20" s="328" t="s">
        <v>304</v>
      </c>
      <c r="AA20" s="329"/>
      <c r="AB20" s="330"/>
      <c r="AC20" s="195" t="s">
        <v>192</v>
      </c>
      <c r="AD20" s="198" t="s">
        <v>264</v>
      </c>
      <c r="AE20" s="197">
        <f>H19+I19/60+J19/60/60</f>
        <v>73.45194444444445</v>
      </c>
      <c r="AF20" s="198" t="s">
        <v>265</v>
      </c>
      <c r="AG20" s="197">
        <f>H22+I22/60+J22/60/60</f>
        <v>73.464166666666671</v>
      </c>
      <c r="AH20" s="204" t="s">
        <v>270</v>
      </c>
      <c r="AI20" s="197">
        <f>AE20-AG20</f>
        <v>-1.222222222222058E-2</v>
      </c>
      <c r="AJ20" s="198" t="s">
        <v>272</v>
      </c>
      <c r="AK20" s="197">
        <f>AI19*60</f>
        <v>0.85000000000007958</v>
      </c>
      <c r="AL20" s="198" t="s">
        <v>274</v>
      </c>
      <c r="AM20" s="197">
        <f>AK20*6076.12</f>
        <v>5164.7020000004832</v>
      </c>
      <c r="AN20" s="198" t="s">
        <v>277</v>
      </c>
      <c r="AO20" s="197">
        <f>AE20*PI()/180</f>
        <v>1.2819782725475128</v>
      </c>
      <c r="AP20" s="198" t="s">
        <v>280</v>
      </c>
      <c r="AQ20" s="197">
        <f>AG20*PI()/180</f>
        <v>1.282191590567201</v>
      </c>
      <c r="AR20" s="198" t="s">
        <v>282</v>
      </c>
      <c r="AS20" s="196">
        <f>IF(360+AS19/(2*PI())*360&gt;360,AS19/(PI())*360,360+AS19/(2*PI())*360)</f>
        <v>63.618994011808553</v>
      </c>
      <c r="AT20" s="200"/>
      <c r="AU20" s="200"/>
    </row>
    <row r="21" spans="1:47" s="120" customFormat="1" ht="15.95" customHeight="1" thickBot="1" x14ac:dyDescent="0.3">
      <c r="A21" s="165">
        <v>3</v>
      </c>
      <c r="B21" s="267"/>
      <c r="C21" s="270"/>
      <c r="D21" s="250" t="s">
        <v>243</v>
      </c>
      <c r="E21" s="502" t="s">
        <v>319</v>
      </c>
      <c r="F21" s="503"/>
      <c r="G21" s="503"/>
      <c r="H21" s="503"/>
      <c r="I21" s="503"/>
      <c r="J21" s="504"/>
      <c r="K21" s="126" t="s">
        <v>16</v>
      </c>
      <c r="L21" s="213" t="s">
        <v>285</v>
      </c>
      <c r="M21" s="127" t="s">
        <v>250</v>
      </c>
      <c r="N21" s="128" t="s">
        <v>4</v>
      </c>
      <c r="O21" s="129" t="s">
        <v>18</v>
      </c>
      <c r="P21" s="223" t="s">
        <v>188</v>
      </c>
      <c r="Q21" s="417"/>
      <c r="R21" s="416"/>
      <c r="S21" s="416"/>
      <c r="T21" s="416"/>
      <c r="U21" s="385"/>
      <c r="V21" s="386"/>
      <c r="W21" s="386"/>
      <c r="X21" s="386"/>
      <c r="Y21" s="387"/>
      <c r="Z21" s="331"/>
      <c r="AA21" s="332"/>
      <c r="AB21" s="333"/>
      <c r="AC21" s="201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198" t="s">
        <v>283</v>
      </c>
      <c r="AS21" s="196">
        <f>61.582*ACOS(SIN(AE19)*SIN(AG19)+COS(AE19)*COS(AG19)*(AE20-AG20))*6076.12</f>
        <v>591701.44595937443</v>
      </c>
      <c r="AT21" s="200"/>
      <c r="AU21" s="200"/>
    </row>
    <row r="22" spans="1:47" s="119" customFormat="1" ht="35.1" customHeight="1" thickTop="1" thickBot="1" x14ac:dyDescent="0.3">
      <c r="A22" s="166" t="str">
        <f>IF(Z19=1,"VERIFIED",IF(AA19=1,"CHECKED",IF(V19=1,"RECHECK",IF(X19=1,"VERIFY",IF(Y19=1,"NEED APP","NOT SCHED")))))</f>
        <v>VERIFY</v>
      </c>
      <c r="B22" s="268"/>
      <c r="C22" s="271"/>
      <c r="D22" s="251" t="s">
        <v>192</v>
      </c>
      <c r="E22" s="178">
        <v>44</v>
      </c>
      <c r="F22" s="181">
        <v>1</v>
      </c>
      <c r="G22" s="174">
        <v>51</v>
      </c>
      <c r="H22" s="173">
        <v>73</v>
      </c>
      <c r="I22" s="181">
        <v>27</v>
      </c>
      <c r="J22" s="174">
        <v>51</v>
      </c>
      <c r="K22" s="130" t="str">
        <f>$N$7</f>
        <v xml:space="preserve"> </v>
      </c>
      <c r="L22" s="207">
        <f>IF(E22=" ","Not being used ",AU19*6076.12)</f>
        <v>6077.7912835577399</v>
      </c>
      <c r="M22" s="206">
        <v>0</v>
      </c>
      <c r="N22" s="152" t="str">
        <f>IF(W19=1,"Need Photo","Has Photo")</f>
        <v>Has Photo</v>
      </c>
      <c r="O22" s="167" t="s">
        <v>258</v>
      </c>
      <c r="P22" s="225" t="str">
        <f>IF(E22=" ","Not being used",(IF(L22&gt;O19,"OFF STA","ON STA")))</f>
        <v>OFF STA</v>
      </c>
      <c r="Q22" s="418"/>
      <c r="R22" s="419"/>
      <c r="S22" s="419"/>
      <c r="T22" s="419"/>
      <c r="U22" s="388"/>
      <c r="V22" s="389"/>
      <c r="W22" s="389"/>
      <c r="X22" s="389"/>
      <c r="Y22" s="390"/>
      <c r="Z22" s="334"/>
      <c r="AA22" s="335"/>
      <c r="AB22" s="336"/>
      <c r="AC22" s="118"/>
    </row>
    <row r="23" spans="1:47" s="117" customFormat="1" ht="9" customHeight="1" thickTop="1" thickBot="1" x14ac:dyDescent="0.3">
      <c r="A23" s="252" t="s">
        <v>0</v>
      </c>
      <c r="B23" s="131" t="s">
        <v>11</v>
      </c>
      <c r="C23" s="132"/>
      <c r="D23" s="133" t="s">
        <v>12</v>
      </c>
      <c r="E23" s="176" t="s">
        <v>246</v>
      </c>
      <c r="F23" s="176" t="s">
        <v>247</v>
      </c>
      <c r="G23" s="170" t="s">
        <v>248</v>
      </c>
      <c r="H23" s="133" t="s">
        <v>246</v>
      </c>
      <c r="I23" s="176" t="s">
        <v>247</v>
      </c>
      <c r="J23" s="170" t="s">
        <v>248</v>
      </c>
      <c r="K23" s="134" t="s">
        <v>13</v>
      </c>
      <c r="L23" s="135" t="s">
        <v>14</v>
      </c>
      <c r="M23" s="135" t="s">
        <v>17</v>
      </c>
      <c r="N23" s="136" t="s">
        <v>15</v>
      </c>
      <c r="O23" s="137" t="s">
        <v>19</v>
      </c>
      <c r="P23" s="222" t="s">
        <v>256</v>
      </c>
      <c r="Q23" s="140" t="s">
        <v>252</v>
      </c>
      <c r="R23" s="141"/>
      <c r="S23" s="142" t="s">
        <v>191</v>
      </c>
      <c r="T23" s="215"/>
      <c r="U23" s="261" t="s">
        <v>286</v>
      </c>
      <c r="V23" s="289"/>
      <c r="W23" s="289"/>
      <c r="X23" s="289"/>
      <c r="Y23" s="290"/>
      <c r="Z23" s="143" t="s">
        <v>238</v>
      </c>
      <c r="AA23" s="144" t="s">
        <v>239</v>
      </c>
      <c r="AB23" s="145" t="s">
        <v>240</v>
      </c>
      <c r="AC23" s="191"/>
      <c r="AD23" s="192"/>
      <c r="AE23" s="193" t="s">
        <v>266</v>
      </c>
      <c r="AF23" s="192"/>
      <c r="AG23" s="193" t="s">
        <v>267</v>
      </c>
      <c r="AH23" s="193"/>
      <c r="AI23" s="193" t="s">
        <v>268</v>
      </c>
      <c r="AJ23" s="192"/>
      <c r="AK23" s="194" t="s">
        <v>278</v>
      </c>
      <c r="AL23" s="192"/>
      <c r="AM23" s="193"/>
      <c r="AN23" s="192"/>
      <c r="AO23" s="194" t="s">
        <v>275</v>
      </c>
      <c r="AP23" s="192"/>
      <c r="AQ23" s="193"/>
      <c r="AR23" s="192"/>
      <c r="AS23" s="193"/>
      <c r="AT23" s="192"/>
      <c r="AU23" s="192"/>
    </row>
    <row r="24" spans="1:47" s="120" customFormat="1" ht="15.95" customHeight="1" thickBot="1" x14ac:dyDescent="0.3">
      <c r="A24" s="124">
        <v>0</v>
      </c>
      <c r="B24" s="266" t="s">
        <v>308</v>
      </c>
      <c r="C24" s="269" t="s">
        <v>0</v>
      </c>
      <c r="D24" s="250" t="s">
        <v>237</v>
      </c>
      <c r="E24" s="177">
        <v>44</v>
      </c>
      <c r="F24" s="180">
        <v>1</v>
      </c>
      <c r="G24" s="125">
        <v>0</v>
      </c>
      <c r="H24" s="161">
        <v>73</v>
      </c>
      <c r="I24" s="180">
        <v>27</v>
      </c>
      <c r="J24" s="125">
        <v>11</v>
      </c>
      <c r="K24" s="272" t="s">
        <v>0</v>
      </c>
      <c r="L24" s="274" t="s">
        <v>0</v>
      </c>
      <c r="M24" s="276">
        <v>14</v>
      </c>
      <c r="N24" s="277">
        <f>IF(M24=" "," ",(M24+$L$7-M27))</f>
        <v>14</v>
      </c>
      <c r="O24" s="279">
        <v>500</v>
      </c>
      <c r="P24" s="500">
        <v>41813</v>
      </c>
      <c r="Q24" s="138" t="s">
        <v>302</v>
      </c>
      <c r="R24" s="139" t="s">
        <v>0</v>
      </c>
      <c r="S24" s="281" t="s">
        <v>303</v>
      </c>
      <c r="T24" s="282"/>
      <c r="U24" s="216">
        <v>1</v>
      </c>
      <c r="V24" s="146" t="s">
        <v>0</v>
      </c>
      <c r="W24" s="147" t="s">
        <v>0</v>
      </c>
      <c r="X24" s="148">
        <v>1</v>
      </c>
      <c r="Y24" s="149" t="s">
        <v>0</v>
      </c>
      <c r="Z24" s="150" t="s">
        <v>0</v>
      </c>
      <c r="AA24" s="146" t="s">
        <v>0</v>
      </c>
      <c r="AB24" s="151" t="s">
        <v>0</v>
      </c>
      <c r="AC24" s="195" t="s">
        <v>237</v>
      </c>
      <c r="AD24" s="198" t="s">
        <v>262</v>
      </c>
      <c r="AE24" s="197">
        <f>E24+F24/60+G24/60/60</f>
        <v>44.016666666666666</v>
      </c>
      <c r="AF24" s="198" t="s">
        <v>263</v>
      </c>
      <c r="AG24" s="197">
        <f>E27+F27/60+G27/60/60</f>
        <v>44.031111111111109</v>
      </c>
      <c r="AH24" s="204" t="s">
        <v>269</v>
      </c>
      <c r="AI24" s="197">
        <f>AG24-AE24</f>
        <v>1.444444444444315E-2</v>
      </c>
      <c r="AJ24" s="198" t="s">
        <v>271</v>
      </c>
      <c r="AK24" s="197">
        <f>AI25*60*COS((AE24+AG24)/2*PI()/180)</f>
        <v>0.15579418987697544</v>
      </c>
      <c r="AL24" s="198" t="s">
        <v>273</v>
      </c>
      <c r="AM24" s="197">
        <f>AK24*6076.12</f>
        <v>946.62419299528801</v>
      </c>
      <c r="AN24" s="198" t="s">
        <v>276</v>
      </c>
      <c r="AO24" s="197">
        <f>AE24*PI()/180</f>
        <v>0.7682357590861707</v>
      </c>
      <c r="AP24" s="198" t="s">
        <v>279</v>
      </c>
      <c r="AQ24" s="197">
        <f>AG24 *PI()/180</f>
        <v>0.76848786220034759</v>
      </c>
      <c r="AR24" s="198" t="s">
        <v>281</v>
      </c>
      <c r="AS24" s="197">
        <f>1*ATAN2(COS(AO24)*SIN(AQ24)-SIN(AO24)*COS(AQ24)*COS(AQ25-AO25),SIN(AQ25-AO25)*COS(AQ24))</f>
        <v>-0.17784100853521695</v>
      </c>
      <c r="AT24" s="199" t="s">
        <v>284</v>
      </c>
      <c r="AU24" s="205">
        <f>SQRT(AK25*AK25+AK24*AK24)</f>
        <v>0.88055831193078837</v>
      </c>
    </row>
    <row r="25" spans="1:47" s="120" customFormat="1" ht="15.95" customHeight="1" thickTop="1" thickBot="1" x14ac:dyDescent="0.3">
      <c r="A25" s="168">
        <v>200100219538</v>
      </c>
      <c r="B25" s="267"/>
      <c r="C25" s="270"/>
      <c r="D25" s="250" t="s">
        <v>242</v>
      </c>
      <c r="E25" s="255" t="s">
        <v>260</v>
      </c>
      <c r="F25" s="256"/>
      <c r="G25" s="256"/>
      <c r="H25" s="256"/>
      <c r="I25" s="256"/>
      <c r="J25" s="257"/>
      <c r="K25" s="273"/>
      <c r="L25" s="275"/>
      <c r="M25" s="276"/>
      <c r="N25" s="278"/>
      <c r="O25" s="280"/>
      <c r="P25" s="501"/>
      <c r="Q25" s="415" t="s">
        <v>316</v>
      </c>
      <c r="R25" s="416"/>
      <c r="S25" s="416"/>
      <c r="T25" s="416"/>
      <c r="U25" s="382" t="s">
        <v>288</v>
      </c>
      <c r="V25" s="383"/>
      <c r="W25" s="383"/>
      <c r="X25" s="383"/>
      <c r="Y25" s="384"/>
      <c r="Z25" s="328" t="s">
        <v>304</v>
      </c>
      <c r="AA25" s="329"/>
      <c r="AB25" s="330"/>
      <c r="AC25" s="195" t="s">
        <v>192</v>
      </c>
      <c r="AD25" s="198" t="s">
        <v>264</v>
      </c>
      <c r="AE25" s="197">
        <f>H24+I24/60+J24/60/60</f>
        <v>73.453055555555565</v>
      </c>
      <c r="AF25" s="198" t="s">
        <v>265</v>
      </c>
      <c r="AG25" s="197">
        <f>H27+I27/60+J27/60/60</f>
        <v>73.449444444444453</v>
      </c>
      <c r="AH25" s="204" t="s">
        <v>270</v>
      </c>
      <c r="AI25" s="197">
        <f>AE25-AG25</f>
        <v>3.6111111111125638E-3</v>
      </c>
      <c r="AJ25" s="198" t="s">
        <v>272</v>
      </c>
      <c r="AK25" s="197">
        <f>AI24*60</f>
        <v>0.86666666666658898</v>
      </c>
      <c r="AL25" s="198" t="s">
        <v>274</v>
      </c>
      <c r="AM25" s="197">
        <f>AK25*6076.12</f>
        <v>5265.9706666661941</v>
      </c>
      <c r="AN25" s="198" t="s">
        <v>277</v>
      </c>
      <c r="AO25" s="197">
        <f>AE25*PI()/180</f>
        <v>1.2819976650947573</v>
      </c>
      <c r="AP25" s="198" t="s">
        <v>280</v>
      </c>
      <c r="AQ25" s="197">
        <f>AG25*PI()/180</f>
        <v>1.281934639316213</v>
      </c>
      <c r="AR25" s="198" t="s">
        <v>282</v>
      </c>
      <c r="AS25" s="196">
        <f>IF(360+AS24/(2*PI())*360&gt;360,AS24/(PI())*360,360+AS24/(2*PI())*360)</f>
        <v>349.81046078658204</v>
      </c>
      <c r="AT25" s="200"/>
      <c r="AU25" s="200"/>
    </row>
    <row r="26" spans="1:47" s="120" customFormat="1" ht="15.95" customHeight="1" thickBot="1" x14ac:dyDescent="0.3">
      <c r="A26" s="165">
        <v>4</v>
      </c>
      <c r="B26" s="267"/>
      <c r="C26" s="270"/>
      <c r="D26" s="250" t="s">
        <v>243</v>
      </c>
      <c r="E26" s="502" t="s">
        <v>319</v>
      </c>
      <c r="F26" s="503"/>
      <c r="G26" s="503"/>
      <c r="H26" s="503"/>
      <c r="I26" s="503"/>
      <c r="J26" s="504"/>
      <c r="K26" s="126" t="s">
        <v>16</v>
      </c>
      <c r="L26" s="213" t="s">
        <v>285</v>
      </c>
      <c r="M26" s="127" t="s">
        <v>250</v>
      </c>
      <c r="N26" s="128" t="s">
        <v>4</v>
      </c>
      <c r="O26" s="129" t="s">
        <v>18</v>
      </c>
      <c r="P26" s="223" t="s">
        <v>188</v>
      </c>
      <c r="Q26" s="417"/>
      <c r="R26" s="416"/>
      <c r="S26" s="416"/>
      <c r="T26" s="416"/>
      <c r="U26" s="385"/>
      <c r="V26" s="386"/>
      <c r="W26" s="386"/>
      <c r="X26" s="386"/>
      <c r="Y26" s="387"/>
      <c r="Z26" s="331"/>
      <c r="AA26" s="332"/>
      <c r="AB26" s="333"/>
      <c r="AC26" s="201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198" t="s">
        <v>283</v>
      </c>
      <c r="AS26" s="196">
        <f>61.582*ACOS(SIN(AE24)*SIN(AG24)+COS(AE24)*COS(AG24)*(AE25-AG25))*6076.12</f>
        <v>585783.7757991507</v>
      </c>
      <c r="AT26" s="200"/>
      <c r="AU26" s="200"/>
    </row>
    <row r="27" spans="1:47" s="119" customFormat="1" ht="35.1" customHeight="1" thickTop="1" thickBot="1" x14ac:dyDescent="0.3">
      <c r="A27" s="166" t="str">
        <f>IF(Z24=1,"VERIFIED",IF(AA24=1,"CHECKED",IF(V24=1,"RECHECK",IF(X24=1,"VERIFY",IF(Y24=1,"NEED APP","NOT SCHED")))))</f>
        <v>VERIFY</v>
      </c>
      <c r="B27" s="268"/>
      <c r="C27" s="271"/>
      <c r="D27" s="251" t="s">
        <v>192</v>
      </c>
      <c r="E27" s="178">
        <v>44</v>
      </c>
      <c r="F27" s="181">
        <v>1</v>
      </c>
      <c r="G27" s="174">
        <v>52</v>
      </c>
      <c r="H27" s="173">
        <v>73</v>
      </c>
      <c r="I27" s="181">
        <v>26</v>
      </c>
      <c r="J27" s="174">
        <v>58</v>
      </c>
      <c r="K27" s="130" t="str">
        <f>$N$7</f>
        <v xml:space="preserve"> </v>
      </c>
      <c r="L27" s="207">
        <f>IF(E27=" ","Not being used ",AU24*6076.12)</f>
        <v>5350.3779702889015</v>
      </c>
      <c r="M27" s="206">
        <v>0</v>
      </c>
      <c r="N27" s="152" t="str">
        <f>IF(W24=1,"Need Photo","Has Photo")</f>
        <v>Has Photo</v>
      </c>
      <c r="O27" s="167" t="s">
        <v>258</v>
      </c>
      <c r="P27" s="225" t="str">
        <f>IF(E27=" ","Not being used",(IF(L27&gt;O24,"OFF STA","ON STA")))</f>
        <v>OFF STA</v>
      </c>
      <c r="Q27" s="418"/>
      <c r="R27" s="419"/>
      <c r="S27" s="419"/>
      <c r="T27" s="419"/>
      <c r="U27" s="388"/>
      <c r="V27" s="389"/>
      <c r="W27" s="389"/>
      <c r="X27" s="389"/>
      <c r="Y27" s="390"/>
      <c r="Z27" s="334"/>
      <c r="AA27" s="335"/>
      <c r="AB27" s="336"/>
      <c r="AC27" s="118"/>
    </row>
    <row r="28" spans="1:47" s="117" customFormat="1" ht="9" customHeight="1" thickTop="1" thickBot="1" x14ac:dyDescent="0.3">
      <c r="A28" s="252" t="s">
        <v>0</v>
      </c>
      <c r="B28" s="131" t="s">
        <v>11</v>
      </c>
      <c r="C28" s="132"/>
      <c r="D28" s="133" t="s">
        <v>12</v>
      </c>
      <c r="E28" s="176" t="s">
        <v>246</v>
      </c>
      <c r="F28" s="176" t="s">
        <v>247</v>
      </c>
      <c r="G28" s="170" t="s">
        <v>248</v>
      </c>
      <c r="H28" s="133" t="s">
        <v>246</v>
      </c>
      <c r="I28" s="176" t="s">
        <v>247</v>
      </c>
      <c r="J28" s="170" t="s">
        <v>248</v>
      </c>
      <c r="K28" s="134" t="s">
        <v>13</v>
      </c>
      <c r="L28" s="135" t="s">
        <v>14</v>
      </c>
      <c r="M28" s="135" t="s">
        <v>295</v>
      </c>
      <c r="N28" s="136" t="s">
        <v>15</v>
      </c>
      <c r="O28" s="137" t="s">
        <v>19</v>
      </c>
      <c r="P28" s="222" t="s">
        <v>256</v>
      </c>
      <c r="Q28" s="140" t="s">
        <v>252</v>
      </c>
      <c r="R28" s="141"/>
      <c r="S28" s="142" t="s">
        <v>257</v>
      </c>
      <c r="T28" s="215"/>
      <c r="U28" s="261" t="s">
        <v>286</v>
      </c>
      <c r="V28" s="289"/>
      <c r="W28" s="289"/>
      <c r="X28" s="289"/>
      <c r="Y28" s="290"/>
      <c r="Z28" s="143" t="s">
        <v>238</v>
      </c>
      <c r="AA28" s="144" t="s">
        <v>239</v>
      </c>
      <c r="AB28" s="145" t="s">
        <v>240</v>
      </c>
      <c r="AC28" s="191"/>
      <c r="AD28" s="192"/>
      <c r="AE28" s="193" t="s">
        <v>266</v>
      </c>
      <c r="AF28" s="192"/>
      <c r="AG28" s="193" t="s">
        <v>267</v>
      </c>
      <c r="AH28" s="193"/>
      <c r="AI28" s="193" t="s">
        <v>268</v>
      </c>
      <c r="AJ28" s="192"/>
      <c r="AK28" s="194" t="s">
        <v>278</v>
      </c>
      <c r="AL28" s="192"/>
      <c r="AM28" s="193"/>
      <c r="AN28" s="192"/>
      <c r="AO28" s="194" t="s">
        <v>275</v>
      </c>
      <c r="AP28" s="192"/>
      <c r="AQ28" s="193"/>
      <c r="AR28" s="192"/>
      <c r="AS28" s="193"/>
      <c r="AT28" s="192"/>
      <c r="AU28" s="192"/>
    </row>
    <row r="29" spans="1:47" s="120" customFormat="1" ht="15.95" customHeight="1" thickBot="1" x14ac:dyDescent="0.3">
      <c r="A29" s="124">
        <v>0</v>
      </c>
      <c r="B29" s="266" t="s">
        <v>309</v>
      </c>
      <c r="C29" s="269" t="s">
        <v>0</v>
      </c>
      <c r="D29" s="250" t="s">
        <v>237</v>
      </c>
      <c r="E29" s="177">
        <v>44</v>
      </c>
      <c r="F29" s="180">
        <v>2</v>
      </c>
      <c r="G29" s="125">
        <v>57</v>
      </c>
      <c r="H29" s="161">
        <v>73</v>
      </c>
      <c r="I29" s="180">
        <v>27</v>
      </c>
      <c r="J29" s="125">
        <v>12</v>
      </c>
      <c r="K29" s="272" t="s">
        <v>0</v>
      </c>
      <c r="L29" s="274" t="s">
        <v>0</v>
      </c>
      <c r="M29" s="276">
        <v>16</v>
      </c>
      <c r="N29" s="277">
        <f>IF(M29=" "," ",(M29+$L$7-M32))</f>
        <v>16</v>
      </c>
      <c r="O29" s="279">
        <v>500</v>
      </c>
      <c r="P29" s="500">
        <v>41813</v>
      </c>
      <c r="Q29" s="138" t="s">
        <v>302</v>
      </c>
      <c r="R29" s="139" t="s">
        <v>0</v>
      </c>
      <c r="S29" s="281" t="s">
        <v>303</v>
      </c>
      <c r="T29" s="282"/>
      <c r="U29" s="216">
        <v>1</v>
      </c>
      <c r="V29" s="146" t="s">
        <v>0</v>
      </c>
      <c r="W29" s="147" t="s">
        <v>0</v>
      </c>
      <c r="X29" s="148">
        <v>1</v>
      </c>
      <c r="Y29" s="149" t="s">
        <v>0</v>
      </c>
      <c r="Z29" s="150" t="s">
        <v>0</v>
      </c>
      <c r="AA29" s="146" t="s">
        <v>0</v>
      </c>
      <c r="AB29" s="151" t="s">
        <v>0</v>
      </c>
      <c r="AC29" s="195" t="s">
        <v>237</v>
      </c>
      <c r="AD29" s="198" t="s">
        <v>262</v>
      </c>
      <c r="AE29" s="197">
        <f>E29+F29/60+G29/60/60</f>
        <v>44.049166666666665</v>
      </c>
      <c r="AF29" s="198" t="s">
        <v>263</v>
      </c>
      <c r="AG29" s="197">
        <f>E32+F32/60+G32/60/60</f>
        <v>44.031944444444441</v>
      </c>
      <c r="AH29" s="204" t="s">
        <v>269</v>
      </c>
      <c r="AI29" s="197">
        <f>AG29-AE29</f>
        <v>-1.7222222222223138E-2</v>
      </c>
      <c r="AJ29" s="198" t="s">
        <v>271</v>
      </c>
      <c r="AK29" s="197">
        <f>AI30*60*COS((AE29+AG29)/2*PI()/180)</f>
        <v>0.11980798692517355</v>
      </c>
      <c r="AL29" s="198" t="s">
        <v>273</v>
      </c>
      <c r="AM29" s="197">
        <f>AK29*6076.12</f>
        <v>727.9677055157855</v>
      </c>
      <c r="AN29" s="198" t="s">
        <v>276</v>
      </c>
      <c r="AO29" s="197">
        <f>AE29*PI()/180</f>
        <v>0.76880299109306882</v>
      </c>
      <c r="AP29" s="198" t="s">
        <v>279</v>
      </c>
      <c r="AQ29" s="197">
        <f>AG29 *PI()/180</f>
        <v>0.76850240661078084</v>
      </c>
      <c r="AR29" s="198" t="s">
        <v>281</v>
      </c>
      <c r="AS29" s="197">
        <f>1*ATAN2(COS(AO29)*SIN(AQ29)-SIN(AO29)*COS(AQ29)*COS(AQ30-AO30),SIN(AQ30-AO30)*COS(AQ29))</f>
        <v>-3.0261479729770846</v>
      </c>
      <c r="AT29" s="199" t="s">
        <v>284</v>
      </c>
      <c r="AU29" s="205">
        <f>SQRT(AK30*AK30+AK29*AK29)</f>
        <v>1.0402556087370805</v>
      </c>
    </row>
    <row r="30" spans="1:47" s="120" customFormat="1" ht="15.95" customHeight="1" thickTop="1" thickBot="1" x14ac:dyDescent="0.3">
      <c r="A30" s="168">
        <v>200100219539</v>
      </c>
      <c r="B30" s="267"/>
      <c r="C30" s="270"/>
      <c r="D30" s="250" t="s">
        <v>242</v>
      </c>
      <c r="E30" s="255" t="s">
        <v>260</v>
      </c>
      <c r="F30" s="256"/>
      <c r="G30" s="256"/>
      <c r="H30" s="256"/>
      <c r="I30" s="256"/>
      <c r="J30" s="257"/>
      <c r="K30" s="273"/>
      <c r="L30" s="275"/>
      <c r="M30" s="276"/>
      <c r="N30" s="278"/>
      <c r="O30" s="280"/>
      <c r="P30" s="501"/>
      <c r="Q30" s="415" t="s">
        <v>315</v>
      </c>
      <c r="R30" s="416"/>
      <c r="S30" s="416"/>
      <c r="T30" s="416"/>
      <c r="U30" s="382" t="s">
        <v>288</v>
      </c>
      <c r="V30" s="383"/>
      <c r="W30" s="383"/>
      <c r="X30" s="383"/>
      <c r="Y30" s="384"/>
      <c r="Z30" s="328" t="s">
        <v>304</v>
      </c>
      <c r="AA30" s="329"/>
      <c r="AB30" s="330"/>
      <c r="AC30" s="195" t="s">
        <v>192</v>
      </c>
      <c r="AD30" s="198" t="s">
        <v>264</v>
      </c>
      <c r="AE30" s="197">
        <f>H29+I29/60+J29/60/60</f>
        <v>73.453333333333333</v>
      </c>
      <c r="AF30" s="198" t="s">
        <v>265</v>
      </c>
      <c r="AG30" s="197">
        <f>H32+I32/60+J32/60/60</f>
        <v>73.450555555555553</v>
      </c>
      <c r="AH30" s="204" t="s">
        <v>270</v>
      </c>
      <c r="AI30" s="197">
        <f>AE30-AG30</f>
        <v>2.7777777777799884E-3</v>
      </c>
      <c r="AJ30" s="198" t="s">
        <v>272</v>
      </c>
      <c r="AK30" s="197">
        <f>AI29*60</f>
        <v>-1.0333333333333883</v>
      </c>
      <c r="AL30" s="198" t="s">
        <v>274</v>
      </c>
      <c r="AM30" s="197">
        <f>AK30*6076.12</f>
        <v>-6278.6573333336673</v>
      </c>
      <c r="AN30" s="198" t="s">
        <v>277</v>
      </c>
      <c r="AO30" s="197">
        <f>AE30*PI()/180</f>
        <v>1.282002513231568</v>
      </c>
      <c r="AP30" s="198" t="s">
        <v>280</v>
      </c>
      <c r="AQ30" s="197">
        <f>AG30*PI()/180</f>
        <v>1.2819540318634572</v>
      </c>
      <c r="AR30" s="198" t="s">
        <v>282</v>
      </c>
      <c r="AS30" s="196">
        <f>IF(360+AS29/(2*PI())*360&gt;360,AS29/(PI())*360,360+AS29/(2*PI())*360)</f>
        <v>186.61449296634396</v>
      </c>
      <c r="AT30" s="200"/>
      <c r="AU30" s="200"/>
    </row>
    <row r="31" spans="1:47" s="120" customFormat="1" ht="15.95" customHeight="1" thickBot="1" x14ac:dyDescent="0.3">
      <c r="A31" s="165">
        <v>5</v>
      </c>
      <c r="B31" s="267"/>
      <c r="C31" s="270"/>
      <c r="D31" s="250" t="s">
        <v>243</v>
      </c>
      <c r="E31" s="502" t="s">
        <v>319</v>
      </c>
      <c r="F31" s="503"/>
      <c r="G31" s="503"/>
      <c r="H31" s="503"/>
      <c r="I31" s="503"/>
      <c r="J31" s="504"/>
      <c r="K31" s="126" t="s">
        <v>16</v>
      </c>
      <c r="L31" s="213" t="s">
        <v>285</v>
      </c>
      <c r="M31" s="127" t="s">
        <v>250</v>
      </c>
      <c r="N31" s="128" t="s">
        <v>4</v>
      </c>
      <c r="O31" s="129" t="s">
        <v>18</v>
      </c>
      <c r="P31" s="223" t="s">
        <v>188</v>
      </c>
      <c r="Q31" s="417"/>
      <c r="R31" s="416"/>
      <c r="S31" s="416"/>
      <c r="T31" s="416"/>
      <c r="U31" s="385"/>
      <c r="V31" s="386"/>
      <c r="W31" s="386"/>
      <c r="X31" s="386"/>
      <c r="Y31" s="387"/>
      <c r="Z31" s="331"/>
      <c r="AA31" s="332"/>
      <c r="AB31" s="333"/>
      <c r="AC31" s="201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198" t="s">
        <v>283</v>
      </c>
      <c r="AS31" s="196">
        <f>61.582*ACOS(SIN(AE29)*SIN(AG29)+COS(AE29)*COS(AG29)*(AE30-AG30))*6076.12</f>
        <v>585483.37453213066</v>
      </c>
      <c r="AT31" s="200"/>
      <c r="AU31" s="200"/>
    </row>
    <row r="32" spans="1:47" s="119" customFormat="1" ht="35.1" customHeight="1" thickTop="1" thickBot="1" x14ac:dyDescent="0.3">
      <c r="A32" s="166" t="str">
        <f>IF(Z29=1,"VERIFIED",IF(AA29=1,"CHECKED",IF(V29=1,"RECHECK",IF(X29=1,"VERIFY",IF(Y29=1,"NEED APP","NOT SCHED")))))</f>
        <v>VERIFY</v>
      </c>
      <c r="B32" s="268"/>
      <c r="C32" s="271"/>
      <c r="D32" s="251" t="s">
        <v>192</v>
      </c>
      <c r="E32" s="178">
        <v>44</v>
      </c>
      <c r="F32" s="181">
        <v>1</v>
      </c>
      <c r="G32" s="174">
        <v>55</v>
      </c>
      <c r="H32" s="173">
        <v>73</v>
      </c>
      <c r="I32" s="181">
        <v>27</v>
      </c>
      <c r="J32" s="174">
        <v>2</v>
      </c>
      <c r="K32" s="130" t="str">
        <f>$N$7</f>
        <v xml:space="preserve"> </v>
      </c>
      <c r="L32" s="207">
        <f>IF(E32=" ","Not being used ",AU29*6076.12)</f>
        <v>6320.7179093595496</v>
      </c>
      <c r="M32" s="206">
        <v>0</v>
      </c>
      <c r="N32" s="152" t="str">
        <f>IF(W29=1,"Need Photo","Has Photo")</f>
        <v>Has Photo</v>
      </c>
      <c r="O32" s="167" t="s">
        <v>258</v>
      </c>
      <c r="P32" s="225" t="str">
        <f>IF(E32=" ","Not being used",(IF(L32&gt;O29,"OFF STA","ON STA")))</f>
        <v>OFF STA</v>
      </c>
      <c r="Q32" s="418"/>
      <c r="R32" s="419"/>
      <c r="S32" s="419"/>
      <c r="T32" s="419"/>
      <c r="U32" s="388"/>
      <c r="V32" s="389"/>
      <c r="W32" s="389"/>
      <c r="X32" s="389"/>
      <c r="Y32" s="390"/>
      <c r="Z32" s="334"/>
      <c r="AA32" s="335"/>
      <c r="AB32" s="336"/>
      <c r="AC32" s="118"/>
    </row>
    <row r="33" spans="1:47" s="119" customFormat="1" ht="78" customHeight="1" thickTop="1" thickBot="1" x14ac:dyDescent="0.3">
      <c r="A33" s="262" t="s">
        <v>293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4" t="s">
        <v>287</v>
      </c>
      <c r="M33" s="265"/>
      <c r="N33" s="265"/>
      <c r="O33" s="265"/>
      <c r="P33" s="265"/>
      <c r="Q33" s="265"/>
      <c r="R33" s="265"/>
      <c r="S33" s="265"/>
      <c r="T33" s="265"/>
      <c r="U33" s="217"/>
      <c r="V33" s="159"/>
      <c r="W33" s="159"/>
      <c r="X33" s="159"/>
      <c r="Y33" s="160"/>
      <c r="Z33" s="153"/>
      <c r="AA33" s="154"/>
      <c r="AB33" s="155"/>
      <c r="AC33" s="118"/>
    </row>
    <row r="34" spans="1:47" s="7" customFormat="1" ht="16.5" customHeight="1" thickTop="1" thickBot="1" x14ac:dyDescent="0.3">
      <c r="A34" s="245" t="s">
        <v>255</v>
      </c>
      <c r="B34" s="246" t="s">
        <v>321</v>
      </c>
      <c r="C34" s="247"/>
      <c r="D34" s="248"/>
      <c r="E34" s="229" t="s">
        <v>249</v>
      </c>
      <c r="F34" s="230"/>
      <c r="G34" s="231"/>
      <c r="H34" s="232" t="s">
        <v>251</v>
      </c>
      <c r="I34" s="230"/>
      <c r="J34" s="231"/>
      <c r="K34" s="233" t="s">
        <v>0</v>
      </c>
      <c r="L34" s="234" t="s">
        <v>0</v>
      </c>
      <c r="M34" s="235" t="s">
        <v>0</v>
      </c>
      <c r="N34" s="236" t="s">
        <v>0</v>
      </c>
      <c r="O34" s="237"/>
      <c r="P34" s="302" t="str">
        <f>P7</f>
        <v xml:space="preserve">D14 - Burl-2 - Southern Run </v>
      </c>
      <c r="Q34" s="302"/>
      <c r="R34" s="302"/>
      <c r="S34" s="302"/>
      <c r="T34" s="302"/>
      <c r="U34" s="238"/>
      <c r="V34" s="239"/>
      <c r="W34" s="240"/>
      <c r="X34" s="241"/>
      <c r="Y34" s="239"/>
      <c r="Z34" s="241"/>
      <c r="AA34" s="239"/>
      <c r="AB34" s="242"/>
      <c r="AC34" s="8"/>
    </row>
    <row r="35" spans="1:47" s="117" customFormat="1" ht="9" customHeight="1" thickTop="1" thickBot="1" x14ac:dyDescent="0.3">
      <c r="A35" s="190"/>
      <c r="B35" s="131" t="s">
        <v>11</v>
      </c>
      <c r="C35" s="132"/>
      <c r="D35" s="133" t="s">
        <v>12</v>
      </c>
      <c r="E35" s="176" t="s">
        <v>246</v>
      </c>
      <c r="F35" s="176" t="s">
        <v>247</v>
      </c>
      <c r="G35" s="170" t="s">
        <v>248</v>
      </c>
      <c r="H35" s="133" t="s">
        <v>246</v>
      </c>
      <c r="I35" s="176" t="s">
        <v>247</v>
      </c>
      <c r="J35" s="170" t="s">
        <v>248</v>
      </c>
      <c r="K35" s="134" t="s">
        <v>13</v>
      </c>
      <c r="L35" s="135" t="s">
        <v>14</v>
      </c>
      <c r="M35" s="135" t="s">
        <v>17</v>
      </c>
      <c r="N35" s="136" t="s">
        <v>15</v>
      </c>
      <c r="O35" s="137" t="s">
        <v>19</v>
      </c>
      <c r="P35" s="222" t="s">
        <v>256</v>
      </c>
      <c r="Q35" s="140" t="s">
        <v>252</v>
      </c>
      <c r="R35" s="141"/>
      <c r="S35" s="142" t="s">
        <v>191</v>
      </c>
      <c r="T35" s="215"/>
      <c r="U35" s="261" t="s">
        <v>286</v>
      </c>
      <c r="V35" s="289"/>
      <c r="W35" s="289"/>
      <c r="X35" s="289"/>
      <c r="Y35" s="290"/>
      <c r="Z35" s="162" t="s">
        <v>238</v>
      </c>
      <c r="AA35" s="163" t="s">
        <v>239</v>
      </c>
      <c r="AB35" s="164" t="s">
        <v>240</v>
      </c>
      <c r="AC35" s="191"/>
      <c r="AD35" s="192"/>
      <c r="AE35" s="193" t="s">
        <v>266</v>
      </c>
      <c r="AF35" s="192"/>
      <c r="AG35" s="193" t="s">
        <v>267</v>
      </c>
      <c r="AH35" s="193"/>
      <c r="AI35" s="193" t="s">
        <v>268</v>
      </c>
      <c r="AJ35" s="192"/>
      <c r="AK35" s="194" t="s">
        <v>278</v>
      </c>
      <c r="AL35" s="192"/>
      <c r="AM35" s="193"/>
      <c r="AN35" s="192"/>
      <c r="AO35" s="194" t="s">
        <v>275</v>
      </c>
      <c r="AP35" s="192"/>
      <c r="AQ35" s="193"/>
      <c r="AR35" s="192"/>
      <c r="AS35" s="193"/>
      <c r="AT35" s="192"/>
      <c r="AU35" s="192"/>
    </row>
    <row r="36" spans="1:47" s="120" customFormat="1" ht="15.95" customHeight="1" thickBot="1" x14ac:dyDescent="0.3">
      <c r="A36" s="124">
        <v>0</v>
      </c>
      <c r="B36" s="266" t="s">
        <v>310</v>
      </c>
      <c r="C36" s="269" t="s">
        <v>0</v>
      </c>
      <c r="D36" s="250" t="s">
        <v>237</v>
      </c>
      <c r="E36" s="177">
        <v>41</v>
      </c>
      <c r="F36" s="180">
        <v>2</v>
      </c>
      <c r="G36" s="125">
        <v>0</v>
      </c>
      <c r="H36" s="161">
        <v>73</v>
      </c>
      <c r="I36" s="180">
        <v>27</v>
      </c>
      <c r="J36" s="125">
        <v>6</v>
      </c>
      <c r="K36" s="272" t="s">
        <v>0</v>
      </c>
      <c r="L36" s="274" t="s">
        <v>0</v>
      </c>
      <c r="M36" s="276">
        <v>6</v>
      </c>
      <c r="N36" s="277">
        <f>IF(M36=" "," ",(M36+$L$7-M39))</f>
        <v>6</v>
      </c>
      <c r="O36" s="279">
        <v>500</v>
      </c>
      <c r="P36" s="500">
        <v>41813</v>
      </c>
      <c r="Q36" s="138" t="s">
        <v>302</v>
      </c>
      <c r="R36" s="139" t="s">
        <v>0</v>
      </c>
      <c r="S36" s="281" t="s">
        <v>303</v>
      </c>
      <c r="T36" s="282"/>
      <c r="U36" s="216">
        <v>1</v>
      </c>
      <c r="V36" s="146" t="s">
        <v>0</v>
      </c>
      <c r="W36" s="147" t="s">
        <v>0</v>
      </c>
      <c r="X36" s="148">
        <v>1</v>
      </c>
      <c r="Y36" s="149" t="s">
        <v>0</v>
      </c>
      <c r="Z36" s="150" t="s">
        <v>0</v>
      </c>
      <c r="AA36" s="146" t="s">
        <v>0</v>
      </c>
      <c r="AB36" s="151" t="s">
        <v>0</v>
      </c>
      <c r="AC36" s="195" t="s">
        <v>237</v>
      </c>
      <c r="AD36" s="198" t="s">
        <v>262</v>
      </c>
      <c r="AE36" s="197">
        <f>E36+F36/60+G36/60/60</f>
        <v>41.033333333333331</v>
      </c>
      <c r="AF36" s="198" t="s">
        <v>263</v>
      </c>
      <c r="AG36" s="197">
        <f>E39+F39/60+G39/60/60</f>
        <v>41.033055555555556</v>
      </c>
      <c r="AH36" s="204" t="s">
        <v>269</v>
      </c>
      <c r="AI36" s="197">
        <f>AG36-AE36</f>
        <v>-2.7777777777515666E-4</v>
      </c>
      <c r="AJ36" s="198" t="s">
        <v>271</v>
      </c>
      <c r="AK36" s="197">
        <f>AI37*60*COS((AE36+AG36)/2*PI()/180)</f>
        <v>0.12572156070772442</v>
      </c>
      <c r="AL36" s="198" t="s">
        <v>273</v>
      </c>
      <c r="AM36" s="197">
        <f>AK36*6076.12</f>
        <v>763.89928944741848</v>
      </c>
      <c r="AN36" s="198" t="s">
        <v>276</v>
      </c>
      <c r="AO36" s="197">
        <f>AE36*PI()/180</f>
        <v>0.71616676973500659</v>
      </c>
      <c r="AP36" s="198" t="s">
        <v>279</v>
      </c>
      <c r="AQ36" s="197">
        <f>AG36 *PI()/180</f>
        <v>0.71616192159819547</v>
      </c>
      <c r="AR36" s="198" t="s">
        <v>281</v>
      </c>
      <c r="AS36" s="197">
        <f>1*ATAN2(COS(AO36)*SIN(AQ36)-SIN(AO36)*COS(AQ36)*COS(AQ37-AO37),SIN(AQ37-AO37)*COS(AQ36))</f>
        <v>-1.7025799893024018</v>
      </c>
      <c r="AT36" s="199" t="s">
        <v>284</v>
      </c>
      <c r="AU36" s="205">
        <f>SQRT(AK37*AK37+AK36*AK36)</f>
        <v>0.12682148321384107</v>
      </c>
    </row>
    <row r="37" spans="1:47" s="120" customFormat="1" ht="15.95" customHeight="1" thickTop="1" thickBot="1" x14ac:dyDescent="0.3">
      <c r="A37" s="168">
        <v>200100219540</v>
      </c>
      <c r="B37" s="267"/>
      <c r="C37" s="270"/>
      <c r="D37" s="250" t="s">
        <v>242</v>
      </c>
      <c r="E37" s="255" t="s">
        <v>260</v>
      </c>
      <c r="F37" s="256"/>
      <c r="G37" s="256"/>
      <c r="H37" s="256"/>
      <c r="I37" s="256"/>
      <c r="J37" s="257"/>
      <c r="K37" s="273"/>
      <c r="L37" s="275"/>
      <c r="M37" s="276"/>
      <c r="N37" s="278"/>
      <c r="O37" s="280"/>
      <c r="P37" s="501"/>
      <c r="Q37" s="415" t="s">
        <v>314</v>
      </c>
      <c r="R37" s="416"/>
      <c r="S37" s="416"/>
      <c r="T37" s="416"/>
      <c r="U37" s="382" t="s">
        <v>288</v>
      </c>
      <c r="V37" s="383"/>
      <c r="W37" s="383"/>
      <c r="X37" s="383"/>
      <c r="Y37" s="384"/>
      <c r="Z37" s="328" t="s">
        <v>304</v>
      </c>
      <c r="AA37" s="329"/>
      <c r="AB37" s="330"/>
      <c r="AC37" s="195" t="s">
        <v>192</v>
      </c>
      <c r="AD37" s="198" t="s">
        <v>264</v>
      </c>
      <c r="AE37" s="197">
        <f>H36+I36/60+J36/60/60</f>
        <v>73.451666666666668</v>
      </c>
      <c r="AF37" s="198" t="s">
        <v>265</v>
      </c>
      <c r="AG37" s="197">
        <f>H39+I39/60+J39/60/60</f>
        <v>73.448888888888888</v>
      </c>
      <c r="AH37" s="204" t="s">
        <v>270</v>
      </c>
      <c r="AI37" s="197">
        <f>AE37-AG37</f>
        <v>2.7777777777799884E-3</v>
      </c>
      <c r="AJ37" s="198" t="s">
        <v>272</v>
      </c>
      <c r="AK37" s="197">
        <f>AI36*60</f>
        <v>-1.66666666665094E-2</v>
      </c>
      <c r="AL37" s="198" t="s">
        <v>274</v>
      </c>
      <c r="AM37" s="197">
        <f>AK37*6076.12</f>
        <v>-101.26866666571109</v>
      </c>
      <c r="AN37" s="198" t="s">
        <v>277</v>
      </c>
      <c r="AO37" s="197">
        <f>AE37*PI()/180</f>
        <v>1.2819734244107017</v>
      </c>
      <c r="AP37" s="198" t="s">
        <v>280</v>
      </c>
      <c r="AQ37" s="197">
        <f>AG37*PI()/180</f>
        <v>1.2819249430425907</v>
      </c>
      <c r="AR37" s="198" t="s">
        <v>282</v>
      </c>
      <c r="AS37" s="196">
        <f>IF(360+AS36/(2*PI())*360&gt;360,AS36/(PI())*360,360+AS36/(2*PI())*360)</f>
        <v>262.44935232954356</v>
      </c>
      <c r="AT37" s="200"/>
      <c r="AU37" s="200"/>
    </row>
    <row r="38" spans="1:47" s="120" customFormat="1" ht="15.95" customHeight="1" thickBot="1" x14ac:dyDescent="0.3">
      <c r="A38" s="165">
        <v>6</v>
      </c>
      <c r="B38" s="267"/>
      <c r="C38" s="270"/>
      <c r="D38" s="250" t="s">
        <v>243</v>
      </c>
      <c r="E38" s="502" t="s">
        <v>319</v>
      </c>
      <c r="F38" s="503"/>
      <c r="G38" s="503"/>
      <c r="H38" s="503"/>
      <c r="I38" s="503"/>
      <c r="J38" s="504"/>
      <c r="K38" s="126" t="s">
        <v>16</v>
      </c>
      <c r="L38" s="213" t="s">
        <v>285</v>
      </c>
      <c r="M38" s="127" t="s">
        <v>250</v>
      </c>
      <c r="N38" s="128" t="s">
        <v>4</v>
      </c>
      <c r="O38" s="129" t="s">
        <v>18</v>
      </c>
      <c r="P38" s="223" t="s">
        <v>188</v>
      </c>
      <c r="Q38" s="417"/>
      <c r="R38" s="416"/>
      <c r="S38" s="416"/>
      <c r="T38" s="416"/>
      <c r="U38" s="385"/>
      <c r="V38" s="386"/>
      <c r="W38" s="386"/>
      <c r="X38" s="386"/>
      <c r="Y38" s="387"/>
      <c r="Z38" s="331"/>
      <c r="AA38" s="332"/>
      <c r="AB38" s="333"/>
      <c r="AC38" s="201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198" t="s">
        <v>283</v>
      </c>
      <c r="AS38" s="196">
        <f>61.582*ACOS(SIN(AE36)*SIN(AG36)+COS(AE36)*COS(AG36)*(AE37-AG37))*6076.12</f>
        <v>573060.99839872844</v>
      </c>
      <c r="AT38" s="200"/>
      <c r="AU38" s="200"/>
    </row>
    <row r="39" spans="1:47" s="119" customFormat="1" ht="35.1" customHeight="1" thickTop="1" thickBot="1" x14ac:dyDescent="0.3">
      <c r="A39" s="166" t="str">
        <f>IF(Z36=1,"VERIFIED",IF(AA36=1,"CHECKED",IF(V36=1,"RECHECK",IF(X36=1,"VERIFY",IF(Y36=1,"NEED APP","NOT SCHED")))))</f>
        <v>VERIFY</v>
      </c>
      <c r="B39" s="268"/>
      <c r="C39" s="271"/>
      <c r="D39" s="251" t="s">
        <v>192</v>
      </c>
      <c r="E39" s="178">
        <v>41</v>
      </c>
      <c r="F39" s="181">
        <v>1</v>
      </c>
      <c r="G39" s="174">
        <v>59</v>
      </c>
      <c r="H39" s="173">
        <v>73</v>
      </c>
      <c r="I39" s="181">
        <v>26</v>
      </c>
      <c r="J39" s="174">
        <v>56</v>
      </c>
      <c r="K39" s="130" t="str">
        <f>$N$7</f>
        <v xml:space="preserve"> </v>
      </c>
      <c r="L39" s="207">
        <f>IF(E39=" ","Not being used ",AU36*6076.12)</f>
        <v>770.58255058528403</v>
      </c>
      <c r="M39" s="206">
        <v>0</v>
      </c>
      <c r="N39" s="152" t="str">
        <f>IF(W36=1,"Need Photo","Has Photo")</f>
        <v>Has Photo</v>
      </c>
      <c r="O39" s="167" t="s">
        <v>258</v>
      </c>
      <c r="P39" s="225" t="str">
        <f>IF(E39=" ","Not being used",(IF(L39&gt;O36,"OFF STA","ON STA")))</f>
        <v>OFF STA</v>
      </c>
      <c r="Q39" s="418"/>
      <c r="R39" s="419"/>
      <c r="S39" s="419"/>
      <c r="T39" s="419"/>
      <c r="U39" s="388"/>
      <c r="V39" s="389"/>
      <c r="W39" s="389"/>
      <c r="X39" s="389"/>
      <c r="Y39" s="390"/>
      <c r="Z39" s="334"/>
      <c r="AA39" s="335"/>
      <c r="AB39" s="336"/>
      <c r="AC39" s="118"/>
    </row>
    <row r="40" spans="1:47" s="117" customFormat="1" ht="9" customHeight="1" thickTop="1" thickBot="1" x14ac:dyDescent="0.3">
      <c r="A40" s="252" t="s">
        <v>0</v>
      </c>
      <c r="B40" s="131" t="s">
        <v>11</v>
      </c>
      <c r="C40" s="132"/>
      <c r="D40" s="133" t="s">
        <v>12</v>
      </c>
      <c r="E40" s="176" t="s">
        <v>246</v>
      </c>
      <c r="F40" s="176" t="s">
        <v>247</v>
      </c>
      <c r="G40" s="170" t="s">
        <v>248</v>
      </c>
      <c r="H40" s="133" t="s">
        <v>246</v>
      </c>
      <c r="I40" s="176" t="s">
        <v>247</v>
      </c>
      <c r="J40" s="170" t="s">
        <v>248</v>
      </c>
      <c r="K40" s="134" t="s">
        <v>13</v>
      </c>
      <c r="L40" s="135" t="s">
        <v>14</v>
      </c>
      <c r="M40" s="135" t="s">
        <v>17</v>
      </c>
      <c r="N40" s="136" t="s">
        <v>15</v>
      </c>
      <c r="O40" s="137" t="s">
        <v>19</v>
      </c>
      <c r="P40" s="222" t="s">
        <v>256</v>
      </c>
      <c r="Q40" s="140" t="s">
        <v>252</v>
      </c>
      <c r="R40" s="141"/>
      <c r="S40" s="142" t="s">
        <v>191</v>
      </c>
      <c r="T40" s="215"/>
      <c r="U40" s="261" t="s">
        <v>286</v>
      </c>
      <c r="V40" s="289"/>
      <c r="W40" s="289"/>
      <c r="X40" s="289"/>
      <c r="Y40" s="290"/>
      <c r="Z40" s="162" t="s">
        <v>238</v>
      </c>
      <c r="AA40" s="163" t="s">
        <v>239</v>
      </c>
      <c r="AB40" s="164" t="s">
        <v>240</v>
      </c>
      <c r="AC40" s="191"/>
      <c r="AD40" s="192"/>
      <c r="AE40" s="193" t="s">
        <v>266</v>
      </c>
      <c r="AF40" s="192"/>
      <c r="AG40" s="193" t="s">
        <v>267</v>
      </c>
      <c r="AH40" s="193"/>
      <c r="AI40" s="193" t="s">
        <v>268</v>
      </c>
      <c r="AJ40" s="192"/>
      <c r="AK40" s="194" t="s">
        <v>278</v>
      </c>
      <c r="AL40" s="192"/>
      <c r="AM40" s="193"/>
      <c r="AN40" s="192"/>
      <c r="AO40" s="194" t="s">
        <v>275</v>
      </c>
      <c r="AP40" s="192"/>
      <c r="AQ40" s="193"/>
      <c r="AR40" s="192"/>
      <c r="AS40" s="193"/>
      <c r="AT40" s="192"/>
      <c r="AU40" s="192"/>
    </row>
    <row r="41" spans="1:47" s="120" customFormat="1" ht="15.95" customHeight="1" thickBot="1" x14ac:dyDescent="0.3">
      <c r="A41" s="124">
        <v>0</v>
      </c>
      <c r="B41" s="266" t="s">
        <v>311</v>
      </c>
      <c r="C41" s="269" t="s">
        <v>0</v>
      </c>
      <c r="D41" s="250" t="s">
        <v>237</v>
      </c>
      <c r="E41" s="177">
        <v>41</v>
      </c>
      <c r="F41" s="180">
        <v>1</v>
      </c>
      <c r="G41" s="125">
        <v>57</v>
      </c>
      <c r="H41" s="161">
        <v>73</v>
      </c>
      <c r="I41" s="180">
        <v>27</v>
      </c>
      <c r="J41" s="125">
        <v>15</v>
      </c>
      <c r="K41" s="272" t="s">
        <v>0</v>
      </c>
      <c r="L41" s="274" t="s">
        <v>0</v>
      </c>
      <c r="M41" s="276">
        <v>10</v>
      </c>
      <c r="N41" s="277">
        <f>IF(M41=" "," ",(M41+$L$7-M44))</f>
        <v>10</v>
      </c>
      <c r="O41" s="279">
        <v>500</v>
      </c>
      <c r="P41" s="500">
        <v>41813</v>
      </c>
      <c r="Q41" s="138" t="s">
        <v>302</v>
      </c>
      <c r="R41" s="139" t="s">
        <v>0</v>
      </c>
      <c r="S41" s="281" t="s">
        <v>303</v>
      </c>
      <c r="T41" s="282"/>
      <c r="U41" s="216">
        <v>1</v>
      </c>
      <c r="V41" s="146" t="s">
        <v>0</v>
      </c>
      <c r="W41" s="147" t="s">
        <v>0</v>
      </c>
      <c r="X41" s="148">
        <v>1</v>
      </c>
      <c r="Y41" s="149" t="s">
        <v>0</v>
      </c>
      <c r="Z41" s="150" t="s">
        <v>0</v>
      </c>
      <c r="AA41" s="146" t="s">
        <v>0</v>
      </c>
      <c r="AB41" s="151" t="s">
        <v>0</v>
      </c>
      <c r="AC41" s="195" t="s">
        <v>237</v>
      </c>
      <c r="AD41" s="198" t="s">
        <v>262</v>
      </c>
      <c r="AE41" s="197">
        <f>E41+F41/60+G41/60/60</f>
        <v>41.032499999999999</v>
      </c>
      <c r="AF41" s="198" t="s">
        <v>263</v>
      </c>
      <c r="AG41" s="197">
        <f>E44+F44/60+G44/60/60</f>
        <v>41.032499999999999</v>
      </c>
      <c r="AH41" s="204" t="s">
        <v>269</v>
      </c>
      <c r="AI41" s="197">
        <f>AG41-AE41</f>
        <v>0</v>
      </c>
      <c r="AJ41" s="198" t="s">
        <v>271</v>
      </c>
      <c r="AK41" s="197">
        <f>AI42*60*COS((AE41+AG41)/2*PI()/180)</f>
        <v>0</v>
      </c>
      <c r="AL41" s="198" t="s">
        <v>273</v>
      </c>
      <c r="AM41" s="197">
        <f>AK41*6076.12</f>
        <v>0</v>
      </c>
      <c r="AN41" s="198" t="s">
        <v>276</v>
      </c>
      <c r="AO41" s="197">
        <f>AE41*PI()/180</f>
        <v>0.71615222532457323</v>
      </c>
      <c r="AP41" s="198" t="s">
        <v>279</v>
      </c>
      <c r="AQ41" s="197">
        <f>AG41 *PI()/180</f>
        <v>0.71615222532457323</v>
      </c>
      <c r="AR41" s="198" t="s">
        <v>281</v>
      </c>
      <c r="AS41" s="197" t="e">
        <f>1*ATAN2(COS(AO41)*SIN(AQ41)-SIN(AO41)*COS(AQ41)*COS(AQ42-AO42),SIN(AQ42-AO42)*COS(AQ41))</f>
        <v>#DIV/0!</v>
      </c>
      <c r="AT41" s="199" t="s">
        <v>284</v>
      </c>
      <c r="AU41" s="205">
        <f>SQRT(AK42*AK42+AK41*AK41)</f>
        <v>0</v>
      </c>
    </row>
    <row r="42" spans="1:47" s="120" customFormat="1" ht="15.95" customHeight="1" thickTop="1" thickBot="1" x14ac:dyDescent="0.3">
      <c r="A42" s="168">
        <v>200100219541</v>
      </c>
      <c r="B42" s="267"/>
      <c r="C42" s="270"/>
      <c r="D42" s="250" t="s">
        <v>242</v>
      </c>
      <c r="E42" s="255" t="s">
        <v>260</v>
      </c>
      <c r="F42" s="256"/>
      <c r="G42" s="256"/>
      <c r="H42" s="256"/>
      <c r="I42" s="256"/>
      <c r="J42" s="257"/>
      <c r="K42" s="273"/>
      <c r="L42" s="275"/>
      <c r="M42" s="276"/>
      <c r="N42" s="278"/>
      <c r="O42" s="280"/>
      <c r="P42" s="501"/>
      <c r="Q42" s="415" t="s">
        <v>313</v>
      </c>
      <c r="R42" s="416"/>
      <c r="S42" s="416"/>
      <c r="T42" s="416"/>
      <c r="U42" s="382" t="s">
        <v>288</v>
      </c>
      <c r="V42" s="383"/>
      <c r="W42" s="383"/>
      <c r="X42" s="383"/>
      <c r="Y42" s="384"/>
      <c r="Z42" s="328" t="s">
        <v>304</v>
      </c>
      <c r="AA42" s="329"/>
      <c r="AB42" s="330"/>
      <c r="AC42" s="195" t="s">
        <v>192</v>
      </c>
      <c r="AD42" s="198" t="s">
        <v>264</v>
      </c>
      <c r="AE42" s="197">
        <f>H41+I41/60+J41/60/60</f>
        <v>73.454166666666666</v>
      </c>
      <c r="AF42" s="198" t="s">
        <v>265</v>
      </c>
      <c r="AG42" s="197">
        <f>H44+I44/60+J44/60/60</f>
        <v>73.454166666666666</v>
      </c>
      <c r="AH42" s="204" t="s">
        <v>270</v>
      </c>
      <c r="AI42" s="197">
        <f>AE42-AG42</f>
        <v>0</v>
      </c>
      <c r="AJ42" s="198" t="s">
        <v>272</v>
      </c>
      <c r="AK42" s="197">
        <f>AI41*60</f>
        <v>0</v>
      </c>
      <c r="AL42" s="198" t="s">
        <v>274</v>
      </c>
      <c r="AM42" s="197">
        <f>AK42*6076.12</f>
        <v>0</v>
      </c>
      <c r="AN42" s="198" t="s">
        <v>277</v>
      </c>
      <c r="AO42" s="197">
        <f>AE42*PI()/180</f>
        <v>1.2820170576420014</v>
      </c>
      <c r="AP42" s="198" t="s">
        <v>280</v>
      </c>
      <c r="AQ42" s="197">
        <f>AG42*PI()/180</f>
        <v>1.2820170576420014</v>
      </c>
      <c r="AR42" s="198" t="s">
        <v>282</v>
      </c>
      <c r="AS42" s="196" t="e">
        <f>IF(360+AS41/(2*PI())*360&gt;360,AS41/(PI())*360,360+AS41/(2*PI())*360)</f>
        <v>#DIV/0!</v>
      </c>
      <c r="AT42" s="200"/>
      <c r="AU42" s="200"/>
    </row>
    <row r="43" spans="1:47" s="120" customFormat="1" ht="15.95" customHeight="1" thickBot="1" x14ac:dyDescent="0.3">
      <c r="A43" s="165">
        <v>7</v>
      </c>
      <c r="B43" s="267"/>
      <c r="C43" s="270"/>
      <c r="D43" s="250" t="s">
        <v>243</v>
      </c>
      <c r="E43" s="502" t="s">
        <v>319</v>
      </c>
      <c r="F43" s="503"/>
      <c r="G43" s="503"/>
      <c r="H43" s="503"/>
      <c r="I43" s="503"/>
      <c r="J43" s="504"/>
      <c r="K43" s="126" t="s">
        <v>16</v>
      </c>
      <c r="L43" s="213" t="s">
        <v>285</v>
      </c>
      <c r="M43" s="127" t="s">
        <v>250</v>
      </c>
      <c r="N43" s="128" t="s">
        <v>4</v>
      </c>
      <c r="O43" s="129" t="s">
        <v>18</v>
      </c>
      <c r="P43" s="223" t="s">
        <v>188</v>
      </c>
      <c r="Q43" s="417"/>
      <c r="R43" s="416"/>
      <c r="S43" s="416"/>
      <c r="T43" s="416"/>
      <c r="U43" s="385"/>
      <c r="V43" s="386"/>
      <c r="W43" s="386"/>
      <c r="X43" s="386"/>
      <c r="Y43" s="387"/>
      <c r="Z43" s="331"/>
      <c r="AA43" s="332"/>
      <c r="AB43" s="333"/>
      <c r="AC43" s="201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198" t="s">
        <v>283</v>
      </c>
      <c r="AS43" s="196">
        <f>61.582*ACOS(SIN(AE41)*SIN(AG41)+COS(AE41)*COS(AG41)*(AE42-AG42))*6076.12</f>
        <v>574160.54271638917</v>
      </c>
      <c r="AT43" s="200"/>
      <c r="AU43" s="200"/>
    </row>
    <row r="44" spans="1:47" s="119" customFormat="1" ht="35.1" customHeight="1" thickTop="1" thickBot="1" x14ac:dyDescent="0.3">
      <c r="A44" s="166" t="str">
        <f>IF(Z41=1,"VERIFIED",IF(AA41=1,"CHECKED",IF(V41=1,"RECHECK",IF(X41=1,"VERIFY",IF(Y41=1,"NEED APP","NOT SCHED")))))</f>
        <v>VERIFY</v>
      </c>
      <c r="B44" s="268"/>
      <c r="C44" s="271"/>
      <c r="D44" s="251" t="s">
        <v>192</v>
      </c>
      <c r="E44" s="178">
        <v>41</v>
      </c>
      <c r="F44" s="181">
        <v>1</v>
      </c>
      <c r="G44" s="174">
        <v>57</v>
      </c>
      <c r="H44" s="173">
        <v>73</v>
      </c>
      <c r="I44" s="181">
        <v>27</v>
      </c>
      <c r="J44" s="174">
        <v>15</v>
      </c>
      <c r="K44" s="130" t="str">
        <f>$N$7</f>
        <v xml:space="preserve"> </v>
      </c>
      <c r="L44" s="207">
        <f>IF(E44=" ","Not being used ",AU41*6076.12)</f>
        <v>0</v>
      </c>
      <c r="M44" s="206">
        <v>0</v>
      </c>
      <c r="N44" s="253" t="str">
        <f>IF(W41=1,"Need Photo","Has Photo")</f>
        <v>Has Photo</v>
      </c>
      <c r="O44" s="254" t="s">
        <v>258</v>
      </c>
      <c r="P44" s="225" t="str">
        <f>IF(E44=" ","Not being used",(IF(L44&gt;O41,"OFF STA","ON STA")))</f>
        <v>ON STA</v>
      </c>
      <c r="Q44" s="418"/>
      <c r="R44" s="419"/>
      <c r="S44" s="419"/>
      <c r="T44" s="419"/>
      <c r="U44" s="388"/>
      <c r="V44" s="389"/>
      <c r="W44" s="389"/>
      <c r="X44" s="389"/>
      <c r="Y44" s="390"/>
      <c r="Z44" s="334"/>
      <c r="AA44" s="335"/>
      <c r="AB44" s="336"/>
      <c r="AC44" s="118"/>
    </row>
    <row r="45" spans="1:47" s="117" customFormat="1" ht="9" customHeight="1" thickTop="1" thickBot="1" x14ac:dyDescent="0.3">
      <c r="A45" s="252" t="s">
        <v>0</v>
      </c>
      <c r="B45" s="131" t="s">
        <v>11</v>
      </c>
      <c r="C45" s="132"/>
      <c r="D45" s="133" t="s">
        <v>12</v>
      </c>
      <c r="E45" s="176" t="s">
        <v>246</v>
      </c>
      <c r="F45" s="176" t="s">
        <v>247</v>
      </c>
      <c r="G45" s="170" t="s">
        <v>248</v>
      </c>
      <c r="H45" s="133" t="s">
        <v>246</v>
      </c>
      <c r="I45" s="176" t="s">
        <v>247</v>
      </c>
      <c r="J45" s="170" t="s">
        <v>248</v>
      </c>
      <c r="K45" s="134" t="s">
        <v>13</v>
      </c>
      <c r="L45" s="135" t="s">
        <v>14</v>
      </c>
      <c r="M45" s="135" t="s">
        <v>17</v>
      </c>
      <c r="N45" s="136" t="s">
        <v>15</v>
      </c>
      <c r="O45" s="137" t="s">
        <v>19</v>
      </c>
      <c r="P45" s="222" t="s">
        <v>256</v>
      </c>
      <c r="Q45" s="140" t="s">
        <v>252</v>
      </c>
      <c r="R45" s="141"/>
      <c r="S45" s="142" t="s">
        <v>191</v>
      </c>
      <c r="T45" s="215"/>
      <c r="U45" s="261" t="s">
        <v>286</v>
      </c>
      <c r="V45" s="289"/>
      <c r="W45" s="289"/>
      <c r="X45" s="289"/>
      <c r="Y45" s="290"/>
      <c r="Z45" s="143" t="s">
        <v>238</v>
      </c>
      <c r="AA45" s="144" t="s">
        <v>239</v>
      </c>
      <c r="AB45" s="145" t="s">
        <v>240</v>
      </c>
      <c r="AC45" s="191"/>
      <c r="AD45" s="192"/>
      <c r="AE45" s="193" t="s">
        <v>266</v>
      </c>
      <c r="AF45" s="192"/>
      <c r="AG45" s="193" t="s">
        <v>267</v>
      </c>
      <c r="AH45" s="193"/>
      <c r="AI45" s="193" t="s">
        <v>268</v>
      </c>
      <c r="AJ45" s="192"/>
      <c r="AK45" s="194" t="s">
        <v>278</v>
      </c>
      <c r="AL45" s="192"/>
      <c r="AM45" s="193"/>
      <c r="AN45" s="192"/>
      <c r="AO45" s="194" t="s">
        <v>275</v>
      </c>
      <c r="AP45" s="192"/>
      <c r="AQ45" s="193"/>
      <c r="AR45" s="192"/>
      <c r="AS45" s="193"/>
      <c r="AT45" s="192"/>
      <c r="AU45" s="192"/>
    </row>
    <row r="46" spans="1:47" s="120" customFormat="1" ht="15.95" customHeight="1" thickBot="1" x14ac:dyDescent="0.3">
      <c r="A46" s="124">
        <v>0</v>
      </c>
      <c r="B46" s="266" t="s">
        <v>312</v>
      </c>
      <c r="C46" s="269" t="s">
        <v>0</v>
      </c>
      <c r="D46" s="250" t="s">
        <v>237</v>
      </c>
      <c r="E46" s="177">
        <v>44</v>
      </c>
      <c r="F46" s="180">
        <v>1</v>
      </c>
      <c r="G46" s="125">
        <v>56</v>
      </c>
      <c r="H46" s="161">
        <v>73</v>
      </c>
      <c r="I46" s="180">
        <v>27</v>
      </c>
      <c r="J46" s="125">
        <v>5</v>
      </c>
      <c r="K46" s="272" t="s">
        <v>0</v>
      </c>
      <c r="L46" s="274" t="s">
        <v>0</v>
      </c>
      <c r="M46" s="276">
        <v>5</v>
      </c>
      <c r="N46" s="277">
        <f>IF(M46=" "," ",(M46+$L$7-M49))</f>
        <v>5</v>
      </c>
      <c r="O46" s="279">
        <v>500</v>
      </c>
      <c r="P46" s="500">
        <v>41813</v>
      </c>
      <c r="Q46" s="138" t="s">
        <v>302</v>
      </c>
      <c r="R46" s="139" t="s">
        <v>0</v>
      </c>
      <c r="S46" s="281" t="s">
        <v>303</v>
      </c>
      <c r="T46" s="282"/>
      <c r="U46" s="216">
        <v>1</v>
      </c>
      <c r="V46" s="146" t="s">
        <v>0</v>
      </c>
      <c r="W46" s="147" t="s">
        <v>0</v>
      </c>
      <c r="X46" s="148">
        <v>1</v>
      </c>
      <c r="Y46" s="149" t="s">
        <v>0</v>
      </c>
      <c r="Z46" s="150" t="s">
        <v>0</v>
      </c>
      <c r="AA46" s="146"/>
      <c r="AB46" s="151" t="s">
        <v>0</v>
      </c>
      <c r="AC46" s="195" t="s">
        <v>237</v>
      </c>
      <c r="AD46" s="198" t="s">
        <v>262</v>
      </c>
      <c r="AE46" s="197">
        <f>E46+F46/60+G46/60/60</f>
        <v>44.032222222222224</v>
      </c>
      <c r="AF46" s="198" t="s">
        <v>263</v>
      </c>
      <c r="AG46" s="197">
        <f>E49+F49/60+G49/60/60</f>
        <v>44.032222222222224</v>
      </c>
      <c r="AH46" s="204" t="s">
        <v>269</v>
      </c>
      <c r="AI46" s="197">
        <f>AG46-AE46</f>
        <v>0</v>
      </c>
      <c r="AJ46" s="198" t="s">
        <v>271</v>
      </c>
      <c r="AK46" s="197">
        <f>AI47*60*COS((AE46+AG46)/2*PI()/180)</f>
        <v>0.23964967398013115</v>
      </c>
      <c r="AL46" s="198" t="s">
        <v>273</v>
      </c>
      <c r="AM46" s="197">
        <f>AK46*6076.12</f>
        <v>1456.1401770641544</v>
      </c>
      <c r="AN46" s="198" t="s">
        <v>276</v>
      </c>
      <c r="AO46" s="197">
        <f>AE46*PI()/180</f>
        <v>0.76850725474759207</v>
      </c>
      <c r="AP46" s="198" t="s">
        <v>279</v>
      </c>
      <c r="AQ46" s="197">
        <f>AG46 *PI()/180</f>
        <v>0.76850725474759207</v>
      </c>
      <c r="AR46" s="198" t="s">
        <v>281</v>
      </c>
      <c r="AS46" s="197">
        <f>1*ATAN2(COS(AO46)*SIN(AQ46)-SIN(AO46)*COS(AQ46)*COS(AQ47-AO47),SIN(AQ47-AO47)*COS(AQ46))</f>
        <v>-1.5707626291988483</v>
      </c>
      <c r="AT46" s="199" t="s">
        <v>284</v>
      </c>
      <c r="AU46" s="205">
        <f>SQRT(AK47*AK47+AK46*AK46)</f>
        <v>0.23964967398013115</v>
      </c>
    </row>
    <row r="47" spans="1:47" s="120" customFormat="1" ht="15.95" customHeight="1" thickTop="1" thickBot="1" x14ac:dyDescent="0.3">
      <c r="A47" s="168">
        <v>200100219542</v>
      </c>
      <c r="B47" s="267"/>
      <c r="C47" s="270"/>
      <c r="D47" s="250" t="s">
        <v>242</v>
      </c>
      <c r="E47" s="255" t="s">
        <v>260</v>
      </c>
      <c r="F47" s="256"/>
      <c r="G47" s="256"/>
      <c r="H47" s="256"/>
      <c r="I47" s="256"/>
      <c r="J47" s="257"/>
      <c r="K47" s="273"/>
      <c r="L47" s="275"/>
      <c r="M47" s="276"/>
      <c r="N47" s="278"/>
      <c r="O47" s="280"/>
      <c r="P47" s="501"/>
      <c r="Q47" s="415" t="s">
        <v>320</v>
      </c>
      <c r="R47" s="416"/>
      <c r="S47" s="416"/>
      <c r="T47" s="416"/>
      <c r="U47" s="382" t="s">
        <v>288</v>
      </c>
      <c r="V47" s="383"/>
      <c r="W47" s="383"/>
      <c r="X47" s="383"/>
      <c r="Y47" s="384"/>
      <c r="Z47" s="328" t="s">
        <v>304</v>
      </c>
      <c r="AA47" s="329"/>
      <c r="AB47" s="330"/>
      <c r="AC47" s="195" t="s">
        <v>192</v>
      </c>
      <c r="AD47" s="198" t="s">
        <v>264</v>
      </c>
      <c r="AE47" s="197">
        <f>H46+I46/60+J46/60/60</f>
        <v>73.451388888888886</v>
      </c>
      <c r="AF47" s="198" t="s">
        <v>265</v>
      </c>
      <c r="AG47" s="197">
        <f>H49+I49/60+J49/60/60</f>
        <v>73.44583333333334</v>
      </c>
      <c r="AH47" s="204" t="s">
        <v>270</v>
      </c>
      <c r="AI47" s="197">
        <f>AE47-AG47</f>
        <v>5.5555555555457659E-3</v>
      </c>
      <c r="AJ47" s="198" t="s">
        <v>272</v>
      </c>
      <c r="AK47" s="197">
        <f>AI46*60</f>
        <v>0</v>
      </c>
      <c r="AL47" s="198" t="s">
        <v>274</v>
      </c>
      <c r="AM47" s="197">
        <f>AK47*6076.12</f>
        <v>0</v>
      </c>
      <c r="AN47" s="198" t="s">
        <v>277</v>
      </c>
      <c r="AO47" s="197">
        <f>AE47*PI()/180</f>
        <v>1.2819685762738904</v>
      </c>
      <c r="AP47" s="198" t="s">
        <v>280</v>
      </c>
      <c r="AQ47" s="197">
        <f>AG47*PI()/180</f>
        <v>1.2818716135376687</v>
      </c>
      <c r="AR47" s="198" t="s">
        <v>282</v>
      </c>
      <c r="AS47" s="196">
        <f>IF(360+AS46/(2*PI())*360&gt;360,AS46/(PI())*360,360+AS46/(2*PI())*360)</f>
        <v>270.00193073003328</v>
      </c>
      <c r="AT47" s="200"/>
      <c r="AU47" s="200"/>
    </row>
    <row r="48" spans="1:47" s="120" customFormat="1" ht="15.95" customHeight="1" thickBot="1" x14ac:dyDescent="0.3">
      <c r="A48" s="165">
        <v>8</v>
      </c>
      <c r="B48" s="267"/>
      <c r="C48" s="270"/>
      <c r="D48" s="250" t="s">
        <v>243</v>
      </c>
      <c r="E48" s="502" t="s">
        <v>319</v>
      </c>
      <c r="F48" s="503"/>
      <c r="G48" s="503"/>
      <c r="H48" s="503"/>
      <c r="I48" s="503"/>
      <c r="J48" s="504"/>
      <c r="K48" s="126" t="s">
        <v>16</v>
      </c>
      <c r="L48" s="213" t="s">
        <v>285</v>
      </c>
      <c r="M48" s="127" t="s">
        <v>250</v>
      </c>
      <c r="N48" s="128" t="s">
        <v>4</v>
      </c>
      <c r="O48" s="129" t="s">
        <v>18</v>
      </c>
      <c r="P48" s="223" t="s">
        <v>188</v>
      </c>
      <c r="Q48" s="417"/>
      <c r="R48" s="416"/>
      <c r="S48" s="416"/>
      <c r="T48" s="416"/>
      <c r="U48" s="385"/>
      <c r="V48" s="386"/>
      <c r="W48" s="386"/>
      <c r="X48" s="386"/>
      <c r="Y48" s="387"/>
      <c r="Z48" s="331"/>
      <c r="AA48" s="332"/>
      <c r="AB48" s="333"/>
      <c r="AC48" s="201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198" t="s">
        <v>283</v>
      </c>
      <c r="AS48" s="196">
        <f>61.582*ACOS(SIN(AE46)*SIN(AG46)+COS(AE46)*COS(AG46)*(AE47-AG47))*6076.12</f>
        <v>584754.47174505121</v>
      </c>
      <c r="AT48" s="200"/>
      <c r="AU48" s="200"/>
    </row>
    <row r="49" spans="1:47" s="119" customFormat="1" ht="35.1" customHeight="1" thickTop="1" thickBot="1" x14ac:dyDescent="0.3">
      <c r="A49" s="166" t="str">
        <f>IF(Z46=1,"VERIFIED",IF(AA46=1,"CHECKED",IF(V46=1,"RECHECK",IF(X46=1,"VERIFY",IF(Y46=1,"NEED APP","NOT SCHED")))))</f>
        <v>VERIFY</v>
      </c>
      <c r="B49" s="268"/>
      <c r="C49" s="271"/>
      <c r="D49" s="251" t="s">
        <v>192</v>
      </c>
      <c r="E49" s="178">
        <v>44</v>
      </c>
      <c r="F49" s="181">
        <v>1</v>
      </c>
      <c r="G49" s="174">
        <v>56</v>
      </c>
      <c r="H49" s="173">
        <v>73</v>
      </c>
      <c r="I49" s="181">
        <v>26</v>
      </c>
      <c r="J49" s="174">
        <v>45</v>
      </c>
      <c r="K49" s="130" t="str">
        <f>$N$7</f>
        <v xml:space="preserve"> </v>
      </c>
      <c r="L49" s="207">
        <f>IF(E49=" ","Not being used ",AU46*6076.12)</f>
        <v>1456.1401770641544</v>
      </c>
      <c r="M49" s="206">
        <v>0</v>
      </c>
      <c r="N49" s="253" t="str">
        <f>IF(W46=1,"Need Photo","Has Photo")</f>
        <v>Has Photo</v>
      </c>
      <c r="O49" s="254" t="s">
        <v>258</v>
      </c>
      <c r="P49" s="225" t="str">
        <f>IF(E49=" ","Not being used",(IF(L49&gt;O46,"OFF STA","ON STA")))</f>
        <v>OFF STA</v>
      </c>
      <c r="Q49" s="418"/>
      <c r="R49" s="419"/>
      <c r="S49" s="419"/>
      <c r="T49" s="419"/>
      <c r="U49" s="388"/>
      <c r="V49" s="389"/>
      <c r="W49" s="389"/>
      <c r="X49" s="389"/>
      <c r="Y49" s="390"/>
      <c r="Z49" s="334"/>
      <c r="AA49" s="335"/>
      <c r="AB49" s="336"/>
      <c r="AC49" s="118"/>
    </row>
    <row r="50" spans="1:47" s="117" customFormat="1" ht="9" customHeight="1" thickTop="1" thickBot="1" x14ac:dyDescent="0.3">
      <c r="A50" s="190"/>
      <c r="B50" s="131" t="s">
        <v>11</v>
      </c>
      <c r="C50" s="132"/>
      <c r="D50" s="133" t="s">
        <v>12</v>
      </c>
      <c r="E50" s="176" t="s">
        <v>246</v>
      </c>
      <c r="F50" s="176" t="s">
        <v>247</v>
      </c>
      <c r="G50" s="170" t="s">
        <v>248</v>
      </c>
      <c r="H50" s="133" t="s">
        <v>246</v>
      </c>
      <c r="I50" s="176" t="s">
        <v>247</v>
      </c>
      <c r="J50" s="170" t="s">
        <v>248</v>
      </c>
      <c r="K50" s="134" t="s">
        <v>13</v>
      </c>
      <c r="L50" s="135" t="s">
        <v>14</v>
      </c>
      <c r="M50" s="135" t="s">
        <v>17</v>
      </c>
      <c r="N50" s="226" t="s">
        <v>15</v>
      </c>
      <c r="O50" s="227" t="s">
        <v>19</v>
      </c>
      <c r="P50" s="228" t="s">
        <v>256</v>
      </c>
      <c r="Q50" s="140" t="s">
        <v>252</v>
      </c>
      <c r="R50" s="141"/>
      <c r="S50" s="142" t="s">
        <v>191</v>
      </c>
      <c r="T50" s="215"/>
      <c r="U50" s="261" t="s">
        <v>286</v>
      </c>
      <c r="V50" s="289"/>
      <c r="W50" s="289"/>
      <c r="X50" s="289"/>
      <c r="Y50" s="290"/>
      <c r="Z50" s="143" t="s">
        <v>238</v>
      </c>
      <c r="AA50" s="144" t="s">
        <v>239</v>
      </c>
      <c r="AB50" s="145" t="s">
        <v>240</v>
      </c>
      <c r="AC50" s="191"/>
      <c r="AD50" s="192"/>
      <c r="AE50" s="193" t="s">
        <v>266</v>
      </c>
      <c r="AF50" s="192"/>
      <c r="AG50" s="193" t="s">
        <v>267</v>
      </c>
      <c r="AH50" s="193"/>
      <c r="AI50" s="193" t="s">
        <v>268</v>
      </c>
      <c r="AJ50" s="192"/>
      <c r="AK50" s="194" t="s">
        <v>278</v>
      </c>
      <c r="AL50" s="192"/>
      <c r="AM50" s="193"/>
      <c r="AN50" s="192"/>
      <c r="AO50" s="194" t="s">
        <v>275</v>
      </c>
      <c r="AP50" s="192"/>
      <c r="AQ50" s="193"/>
      <c r="AR50" s="192"/>
      <c r="AS50" s="193"/>
      <c r="AT50" s="192"/>
      <c r="AU50" s="192"/>
    </row>
    <row r="51" spans="1:47" s="120" customFormat="1" ht="15.95" customHeight="1" thickBot="1" x14ac:dyDescent="0.3">
      <c r="A51" s="124">
        <v>0</v>
      </c>
      <c r="B51" s="266" t="s">
        <v>0</v>
      </c>
      <c r="C51" s="269" t="s">
        <v>0</v>
      </c>
      <c r="D51" s="250" t="s">
        <v>237</v>
      </c>
      <c r="E51" s="177" t="s">
        <v>0</v>
      </c>
      <c r="F51" s="180" t="s">
        <v>0</v>
      </c>
      <c r="G51" s="125" t="s">
        <v>0</v>
      </c>
      <c r="H51" s="161" t="s">
        <v>0</v>
      </c>
      <c r="I51" s="180" t="s">
        <v>0</v>
      </c>
      <c r="J51" s="125" t="s">
        <v>0</v>
      </c>
      <c r="K51" s="272" t="s">
        <v>0</v>
      </c>
      <c r="L51" s="274" t="s">
        <v>0</v>
      </c>
      <c r="M51" s="276">
        <v>0</v>
      </c>
      <c r="N51" s="277">
        <f>IF(M51=" "," ",(M51+$L$7-M54))</f>
        <v>0</v>
      </c>
      <c r="O51" s="279">
        <v>0</v>
      </c>
      <c r="P51" s="300"/>
      <c r="Q51" s="138" t="s">
        <v>0</v>
      </c>
      <c r="R51" s="139" t="s">
        <v>0</v>
      </c>
      <c r="S51" s="281" t="s">
        <v>0</v>
      </c>
      <c r="T51" s="282"/>
      <c r="U51" s="216" t="s">
        <v>0</v>
      </c>
      <c r="V51" s="146" t="s">
        <v>0</v>
      </c>
      <c r="W51" s="147" t="s">
        <v>0</v>
      </c>
      <c r="X51" s="148" t="s">
        <v>0</v>
      </c>
      <c r="Y51" s="149" t="s">
        <v>0</v>
      </c>
      <c r="Z51" s="150" t="s">
        <v>0</v>
      </c>
      <c r="AA51" s="146" t="s">
        <v>0</v>
      </c>
      <c r="AB51" s="151" t="s">
        <v>0</v>
      </c>
      <c r="AC51" s="195" t="s">
        <v>237</v>
      </c>
      <c r="AD51" s="198" t="s">
        <v>262</v>
      </c>
      <c r="AE51" s="197" t="e">
        <f>E51+F51/60+G51/60/60</f>
        <v>#VALUE!</v>
      </c>
      <c r="AF51" s="198" t="s">
        <v>263</v>
      </c>
      <c r="AG51" s="197" t="e">
        <f>E54+F54/60+G54/60/60</f>
        <v>#VALUE!</v>
      </c>
      <c r="AH51" s="204" t="s">
        <v>269</v>
      </c>
      <c r="AI51" s="197" t="e">
        <f>AG51-AE51</f>
        <v>#VALUE!</v>
      </c>
      <c r="AJ51" s="198" t="s">
        <v>271</v>
      </c>
      <c r="AK51" s="197" t="e">
        <f>AI52*60*COS((AE51+AG51)/2*PI()/180)</f>
        <v>#VALUE!</v>
      </c>
      <c r="AL51" s="198" t="s">
        <v>273</v>
      </c>
      <c r="AM51" s="197" t="e">
        <f>AK51*6076.12</f>
        <v>#VALUE!</v>
      </c>
      <c r="AN51" s="198" t="s">
        <v>276</v>
      </c>
      <c r="AO51" s="197" t="e">
        <f>AE51*PI()/180</f>
        <v>#VALUE!</v>
      </c>
      <c r="AP51" s="198" t="s">
        <v>279</v>
      </c>
      <c r="AQ51" s="197" t="e">
        <f>AG51 *PI()/180</f>
        <v>#VALUE!</v>
      </c>
      <c r="AR51" s="198" t="s">
        <v>281</v>
      </c>
      <c r="AS51" s="197" t="e">
        <f>1*ATAN2(COS(AO51)*SIN(AQ51)-SIN(AO51)*COS(AQ51)*COS(AQ52-AO52),SIN(AQ52-AO52)*COS(AQ51))</f>
        <v>#VALUE!</v>
      </c>
      <c r="AT51" s="199" t="s">
        <v>284</v>
      </c>
      <c r="AU51" s="205" t="e">
        <f>SQRT(AK52*AK52+AK51*AK51)</f>
        <v>#VALUE!</v>
      </c>
    </row>
    <row r="52" spans="1:47" s="120" customFormat="1" ht="15.95" customHeight="1" thickTop="1" thickBot="1" x14ac:dyDescent="0.3">
      <c r="A52" s="168" t="s">
        <v>0</v>
      </c>
      <c r="B52" s="267"/>
      <c r="C52" s="270"/>
      <c r="D52" s="250" t="s">
        <v>242</v>
      </c>
      <c r="E52" s="255" t="s">
        <v>260</v>
      </c>
      <c r="F52" s="256"/>
      <c r="G52" s="256"/>
      <c r="H52" s="256"/>
      <c r="I52" s="256"/>
      <c r="J52" s="257"/>
      <c r="K52" s="273"/>
      <c r="L52" s="275"/>
      <c r="M52" s="276"/>
      <c r="N52" s="278"/>
      <c r="O52" s="280"/>
      <c r="P52" s="301"/>
      <c r="Q52" s="283" t="s">
        <v>0</v>
      </c>
      <c r="R52" s="284"/>
      <c r="S52" s="284"/>
      <c r="T52" s="284"/>
      <c r="U52" s="291" t="s">
        <v>0</v>
      </c>
      <c r="V52" s="292"/>
      <c r="W52" s="292"/>
      <c r="X52" s="292"/>
      <c r="Y52" s="293"/>
      <c r="Z52" s="328" t="s">
        <v>0</v>
      </c>
      <c r="AA52" s="329"/>
      <c r="AB52" s="330"/>
      <c r="AC52" s="195" t="s">
        <v>192</v>
      </c>
      <c r="AD52" s="198" t="s">
        <v>264</v>
      </c>
      <c r="AE52" s="197" t="e">
        <f>H51+I51/60+J51/60/60</f>
        <v>#VALUE!</v>
      </c>
      <c r="AF52" s="198" t="s">
        <v>265</v>
      </c>
      <c r="AG52" s="197" t="e">
        <f>H54+I54/60+J54/60/60</f>
        <v>#VALUE!</v>
      </c>
      <c r="AH52" s="204" t="s">
        <v>270</v>
      </c>
      <c r="AI52" s="197" t="e">
        <f>AE52-AG52</f>
        <v>#VALUE!</v>
      </c>
      <c r="AJ52" s="198" t="s">
        <v>272</v>
      </c>
      <c r="AK52" s="197" t="e">
        <f>AI51*60</f>
        <v>#VALUE!</v>
      </c>
      <c r="AL52" s="198" t="s">
        <v>274</v>
      </c>
      <c r="AM52" s="197" t="e">
        <f>AK52*6076.12</f>
        <v>#VALUE!</v>
      </c>
      <c r="AN52" s="198" t="s">
        <v>277</v>
      </c>
      <c r="AO52" s="197" t="e">
        <f>AE52*PI()/180</f>
        <v>#VALUE!</v>
      </c>
      <c r="AP52" s="198" t="s">
        <v>280</v>
      </c>
      <c r="AQ52" s="197" t="e">
        <f>AG52*PI()/180</f>
        <v>#VALUE!</v>
      </c>
      <c r="AR52" s="198" t="s">
        <v>282</v>
      </c>
      <c r="AS52" s="196" t="e">
        <f>IF(360+AS51/(2*PI())*360&gt;360,AS51/(PI())*360,360+AS51/(2*PI())*360)</f>
        <v>#VALUE!</v>
      </c>
      <c r="AT52" s="200"/>
      <c r="AU52" s="200"/>
    </row>
    <row r="53" spans="1:47" s="120" customFormat="1" ht="15.95" customHeight="1" thickBot="1" x14ac:dyDescent="0.3">
      <c r="A53" s="165">
        <v>9</v>
      </c>
      <c r="B53" s="267"/>
      <c r="C53" s="270"/>
      <c r="D53" s="250" t="s">
        <v>243</v>
      </c>
      <c r="E53" s="258" t="s">
        <v>259</v>
      </c>
      <c r="F53" s="259"/>
      <c r="G53" s="259"/>
      <c r="H53" s="259"/>
      <c r="I53" s="259"/>
      <c r="J53" s="260"/>
      <c r="K53" s="126" t="s">
        <v>16</v>
      </c>
      <c r="L53" s="213" t="s">
        <v>285</v>
      </c>
      <c r="M53" s="127" t="s">
        <v>250</v>
      </c>
      <c r="N53" s="128" t="s">
        <v>4</v>
      </c>
      <c r="O53" s="129" t="s">
        <v>18</v>
      </c>
      <c r="P53" s="223" t="s">
        <v>188</v>
      </c>
      <c r="Q53" s="285"/>
      <c r="R53" s="284"/>
      <c r="S53" s="284"/>
      <c r="T53" s="284"/>
      <c r="U53" s="294"/>
      <c r="V53" s="295"/>
      <c r="W53" s="295"/>
      <c r="X53" s="295"/>
      <c r="Y53" s="296"/>
      <c r="Z53" s="331"/>
      <c r="AA53" s="332"/>
      <c r="AB53" s="333"/>
      <c r="AC53" s="201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198" t="s">
        <v>283</v>
      </c>
      <c r="AS53" s="196" t="e">
        <f>61.582*ACOS(SIN(AE51)*SIN(AG51)+COS(AE51)*COS(AG51)*(AE52-AG52))*6076.12</f>
        <v>#VALUE!</v>
      </c>
      <c r="AT53" s="200"/>
      <c r="AU53" s="200"/>
    </row>
    <row r="54" spans="1:47" s="119" customFormat="1" ht="35.1" customHeight="1" thickTop="1" thickBot="1" x14ac:dyDescent="0.3">
      <c r="A54" s="166" t="str">
        <f>IF(Z51=1,"VERIFIED",IF(AA51=1,"CHECKED",IF(V51=1,"RECHECK",IF(X51=1,"VERIFY",IF(Y51=1,"NEED APP","NOT SCHED")))))</f>
        <v>NOT SCHED</v>
      </c>
      <c r="B54" s="268"/>
      <c r="C54" s="271"/>
      <c r="D54" s="251" t="s">
        <v>192</v>
      </c>
      <c r="E54" s="178" t="s">
        <v>0</v>
      </c>
      <c r="F54" s="181" t="s">
        <v>0</v>
      </c>
      <c r="G54" s="174" t="s">
        <v>0</v>
      </c>
      <c r="H54" s="173" t="s">
        <v>0</v>
      </c>
      <c r="I54" s="181" t="s">
        <v>0</v>
      </c>
      <c r="J54" s="174" t="s">
        <v>0</v>
      </c>
      <c r="K54" s="130" t="str">
        <f>$N$7</f>
        <v xml:space="preserve"> </v>
      </c>
      <c r="L54" s="207" t="str">
        <f>IF(E54=" ","Not being used ",AU51*6076.12)</f>
        <v xml:space="preserve">Not being used </v>
      </c>
      <c r="M54" s="206">
        <v>0</v>
      </c>
      <c r="N54" s="152" t="str">
        <f>IF(W51=1,"Need Photo","Has Photo")</f>
        <v>Has Photo</v>
      </c>
      <c r="O54" s="167" t="s">
        <v>258</v>
      </c>
      <c r="P54" s="225" t="str">
        <f>IF(E54=" ","Not being used",(IF(L54&gt;O51,"OFF STA","ON STA")))</f>
        <v>Not being used</v>
      </c>
      <c r="Q54" s="286"/>
      <c r="R54" s="287"/>
      <c r="S54" s="287"/>
      <c r="T54" s="287"/>
      <c r="U54" s="297"/>
      <c r="V54" s="298"/>
      <c r="W54" s="298"/>
      <c r="X54" s="298"/>
      <c r="Y54" s="299"/>
      <c r="Z54" s="334"/>
      <c r="AA54" s="335"/>
      <c r="AB54" s="336"/>
      <c r="AC54" s="118"/>
    </row>
    <row r="55" spans="1:47" s="117" customFormat="1" ht="9" customHeight="1" thickTop="1" thickBot="1" x14ac:dyDescent="0.3">
      <c r="A55" s="190"/>
      <c r="B55" s="131" t="s">
        <v>11</v>
      </c>
      <c r="C55" s="132"/>
      <c r="D55" s="133" t="s">
        <v>12</v>
      </c>
      <c r="E55" s="176" t="s">
        <v>246</v>
      </c>
      <c r="F55" s="176" t="s">
        <v>247</v>
      </c>
      <c r="G55" s="170" t="s">
        <v>248</v>
      </c>
      <c r="H55" s="133" t="s">
        <v>246</v>
      </c>
      <c r="I55" s="176" t="s">
        <v>247</v>
      </c>
      <c r="J55" s="170" t="s">
        <v>248</v>
      </c>
      <c r="K55" s="134" t="s">
        <v>13</v>
      </c>
      <c r="L55" s="135" t="s">
        <v>14</v>
      </c>
      <c r="M55" s="135" t="s">
        <v>17</v>
      </c>
      <c r="N55" s="136" t="s">
        <v>15</v>
      </c>
      <c r="O55" s="137" t="s">
        <v>19</v>
      </c>
      <c r="P55" s="222" t="s">
        <v>256</v>
      </c>
      <c r="Q55" s="140" t="s">
        <v>252</v>
      </c>
      <c r="R55" s="141"/>
      <c r="S55" s="142" t="s">
        <v>191</v>
      </c>
      <c r="T55" s="215"/>
      <c r="U55" s="261" t="s">
        <v>286</v>
      </c>
      <c r="V55" s="289"/>
      <c r="W55" s="289"/>
      <c r="X55" s="289"/>
      <c r="Y55" s="290"/>
      <c r="Z55" s="143" t="s">
        <v>238</v>
      </c>
      <c r="AA55" s="144" t="s">
        <v>239</v>
      </c>
      <c r="AB55" s="145" t="s">
        <v>240</v>
      </c>
      <c r="AC55" s="191"/>
      <c r="AD55" s="192"/>
      <c r="AE55" s="193" t="s">
        <v>266</v>
      </c>
      <c r="AF55" s="192"/>
      <c r="AG55" s="193" t="s">
        <v>267</v>
      </c>
      <c r="AH55" s="193"/>
      <c r="AI55" s="193" t="s">
        <v>268</v>
      </c>
      <c r="AJ55" s="192"/>
      <c r="AK55" s="194" t="s">
        <v>278</v>
      </c>
      <c r="AL55" s="192"/>
      <c r="AM55" s="193"/>
      <c r="AN55" s="192"/>
      <c r="AO55" s="194" t="s">
        <v>275</v>
      </c>
      <c r="AP55" s="192"/>
      <c r="AQ55" s="193"/>
      <c r="AR55" s="192"/>
      <c r="AS55" s="193"/>
      <c r="AT55" s="192"/>
      <c r="AU55" s="192"/>
    </row>
    <row r="56" spans="1:47" s="120" customFormat="1" ht="15.95" customHeight="1" thickBot="1" x14ac:dyDescent="0.3">
      <c r="A56" s="124">
        <v>0</v>
      </c>
      <c r="B56" s="266" t="s">
        <v>0</v>
      </c>
      <c r="C56" s="269" t="s">
        <v>0</v>
      </c>
      <c r="D56" s="250" t="s">
        <v>237</v>
      </c>
      <c r="E56" s="177" t="s">
        <v>0</v>
      </c>
      <c r="F56" s="180" t="s">
        <v>0</v>
      </c>
      <c r="G56" s="125" t="s">
        <v>0</v>
      </c>
      <c r="H56" s="161" t="s">
        <v>0</v>
      </c>
      <c r="I56" s="180" t="s">
        <v>0</v>
      </c>
      <c r="J56" s="125" t="s">
        <v>0</v>
      </c>
      <c r="K56" s="272" t="s">
        <v>0</v>
      </c>
      <c r="L56" s="274" t="s">
        <v>0</v>
      </c>
      <c r="M56" s="276">
        <v>0</v>
      </c>
      <c r="N56" s="277">
        <f>IF(M56=" "," ",(M56+$L$7-M59))</f>
        <v>0</v>
      </c>
      <c r="O56" s="279">
        <v>0</v>
      </c>
      <c r="P56" s="300"/>
      <c r="Q56" s="138" t="s">
        <v>0</v>
      </c>
      <c r="R56" s="139" t="s">
        <v>0</v>
      </c>
      <c r="S56" s="281" t="s">
        <v>0</v>
      </c>
      <c r="T56" s="282"/>
      <c r="U56" s="216" t="s">
        <v>0</v>
      </c>
      <c r="V56" s="146" t="s">
        <v>0</v>
      </c>
      <c r="W56" s="147" t="s">
        <v>0</v>
      </c>
      <c r="X56" s="148" t="s">
        <v>0</v>
      </c>
      <c r="Y56" s="149" t="s">
        <v>0</v>
      </c>
      <c r="Z56" s="150" t="s">
        <v>0</v>
      </c>
      <c r="AA56" s="146" t="s">
        <v>0</v>
      </c>
      <c r="AB56" s="151" t="s">
        <v>0</v>
      </c>
      <c r="AC56" s="195" t="s">
        <v>237</v>
      </c>
      <c r="AD56" s="198" t="s">
        <v>262</v>
      </c>
      <c r="AE56" s="197" t="e">
        <f>E56+F56/60+G56/60/60</f>
        <v>#VALUE!</v>
      </c>
      <c r="AF56" s="198" t="s">
        <v>263</v>
      </c>
      <c r="AG56" s="197" t="e">
        <f>E59+F59/60+G59/60/60</f>
        <v>#VALUE!</v>
      </c>
      <c r="AH56" s="204" t="s">
        <v>269</v>
      </c>
      <c r="AI56" s="197" t="e">
        <f>AG56-AE56</f>
        <v>#VALUE!</v>
      </c>
      <c r="AJ56" s="198" t="s">
        <v>271</v>
      </c>
      <c r="AK56" s="197" t="e">
        <f>AI57*60*COS((AE56+AG56)/2*PI()/180)</f>
        <v>#VALUE!</v>
      </c>
      <c r="AL56" s="198" t="s">
        <v>273</v>
      </c>
      <c r="AM56" s="197" t="e">
        <f>AK56*6076.12</f>
        <v>#VALUE!</v>
      </c>
      <c r="AN56" s="198" t="s">
        <v>276</v>
      </c>
      <c r="AO56" s="197" t="e">
        <f>AE56*PI()/180</f>
        <v>#VALUE!</v>
      </c>
      <c r="AP56" s="198" t="s">
        <v>279</v>
      </c>
      <c r="AQ56" s="197" t="e">
        <f>AG56 *PI()/180</f>
        <v>#VALUE!</v>
      </c>
      <c r="AR56" s="198" t="s">
        <v>281</v>
      </c>
      <c r="AS56" s="197" t="e">
        <f>1*ATAN2(COS(AO56)*SIN(AQ56)-SIN(AO56)*COS(AQ56)*COS(AQ57-AO57),SIN(AQ57-AO57)*COS(AQ56))</f>
        <v>#VALUE!</v>
      </c>
      <c r="AT56" s="199" t="s">
        <v>284</v>
      </c>
      <c r="AU56" s="205" t="e">
        <f>SQRT(AK57*AK57+AK56*AK56)</f>
        <v>#VALUE!</v>
      </c>
    </row>
    <row r="57" spans="1:47" s="120" customFormat="1" ht="15.95" customHeight="1" thickTop="1" thickBot="1" x14ac:dyDescent="0.3">
      <c r="A57" s="168" t="s">
        <v>0</v>
      </c>
      <c r="B57" s="267"/>
      <c r="C57" s="270"/>
      <c r="D57" s="250" t="s">
        <v>242</v>
      </c>
      <c r="E57" s="255" t="s">
        <v>260</v>
      </c>
      <c r="F57" s="256"/>
      <c r="G57" s="256"/>
      <c r="H57" s="256"/>
      <c r="I57" s="256"/>
      <c r="J57" s="257"/>
      <c r="K57" s="273"/>
      <c r="L57" s="275"/>
      <c r="M57" s="276"/>
      <c r="N57" s="278"/>
      <c r="O57" s="280"/>
      <c r="P57" s="301"/>
      <c r="Q57" s="283" t="s">
        <v>0</v>
      </c>
      <c r="R57" s="284"/>
      <c r="S57" s="284"/>
      <c r="T57" s="284"/>
      <c r="U57" s="291" t="s">
        <v>0</v>
      </c>
      <c r="V57" s="292"/>
      <c r="W57" s="292"/>
      <c r="X57" s="292"/>
      <c r="Y57" s="293"/>
      <c r="Z57" s="328" t="s">
        <v>0</v>
      </c>
      <c r="AA57" s="329"/>
      <c r="AB57" s="330"/>
      <c r="AC57" s="195" t="s">
        <v>192</v>
      </c>
      <c r="AD57" s="198" t="s">
        <v>264</v>
      </c>
      <c r="AE57" s="197" t="e">
        <f>H56+I56/60+J56/60/60</f>
        <v>#VALUE!</v>
      </c>
      <c r="AF57" s="198" t="s">
        <v>265</v>
      </c>
      <c r="AG57" s="197" t="e">
        <f>H59+I59/60+J59/60/60</f>
        <v>#VALUE!</v>
      </c>
      <c r="AH57" s="204" t="s">
        <v>270</v>
      </c>
      <c r="AI57" s="197" t="e">
        <f>AE57-AG57</f>
        <v>#VALUE!</v>
      </c>
      <c r="AJ57" s="198" t="s">
        <v>272</v>
      </c>
      <c r="AK57" s="197" t="e">
        <f>AI56*60</f>
        <v>#VALUE!</v>
      </c>
      <c r="AL57" s="198" t="s">
        <v>274</v>
      </c>
      <c r="AM57" s="197" t="e">
        <f>AK57*6076.12</f>
        <v>#VALUE!</v>
      </c>
      <c r="AN57" s="198" t="s">
        <v>277</v>
      </c>
      <c r="AO57" s="197" t="e">
        <f>AE57*PI()/180</f>
        <v>#VALUE!</v>
      </c>
      <c r="AP57" s="198" t="s">
        <v>280</v>
      </c>
      <c r="AQ57" s="197" t="e">
        <f>AG57*PI()/180</f>
        <v>#VALUE!</v>
      </c>
      <c r="AR57" s="198" t="s">
        <v>282</v>
      </c>
      <c r="AS57" s="196" t="e">
        <f>IF(360+AS56/(2*PI())*360&gt;360,AS56/(PI())*360,360+AS56/(2*PI())*360)</f>
        <v>#VALUE!</v>
      </c>
      <c r="AT57" s="200"/>
      <c r="AU57" s="200"/>
    </row>
    <row r="58" spans="1:47" s="120" customFormat="1" ht="15.95" customHeight="1" thickBot="1" x14ac:dyDescent="0.3">
      <c r="A58" s="165">
        <v>10</v>
      </c>
      <c r="B58" s="267"/>
      <c r="C58" s="270"/>
      <c r="D58" s="250" t="s">
        <v>243</v>
      </c>
      <c r="E58" s="258" t="s">
        <v>259</v>
      </c>
      <c r="F58" s="259"/>
      <c r="G58" s="259"/>
      <c r="H58" s="259"/>
      <c r="I58" s="259"/>
      <c r="J58" s="260"/>
      <c r="K58" s="126" t="s">
        <v>16</v>
      </c>
      <c r="L58" s="213" t="s">
        <v>285</v>
      </c>
      <c r="M58" s="127" t="s">
        <v>250</v>
      </c>
      <c r="N58" s="128" t="s">
        <v>4</v>
      </c>
      <c r="O58" s="129" t="s">
        <v>18</v>
      </c>
      <c r="P58" s="223" t="s">
        <v>188</v>
      </c>
      <c r="Q58" s="285"/>
      <c r="R58" s="284"/>
      <c r="S58" s="284"/>
      <c r="T58" s="284"/>
      <c r="U58" s="294"/>
      <c r="V58" s="295"/>
      <c r="W58" s="295"/>
      <c r="X58" s="295"/>
      <c r="Y58" s="296"/>
      <c r="Z58" s="331"/>
      <c r="AA58" s="332"/>
      <c r="AB58" s="333"/>
      <c r="AC58" s="201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198" t="s">
        <v>283</v>
      </c>
      <c r="AS58" s="196" t="e">
        <f>61.582*ACOS(SIN(AE56)*SIN(AG56)+COS(AE56)*COS(AG56)*(AE57-AG57))*6076.12</f>
        <v>#VALUE!</v>
      </c>
      <c r="AT58" s="200"/>
      <c r="AU58" s="200"/>
    </row>
    <row r="59" spans="1:47" s="119" customFormat="1" ht="35.1" customHeight="1" thickTop="1" thickBot="1" x14ac:dyDescent="0.3">
      <c r="A59" s="166" t="str">
        <f>IF(Z56=1,"VERIFIED",IF(AA56=1,"CHECKED",IF(V56=1,"RECHECK",IF(X56=1,"VERIFY",IF(Y56=1,"NEED APP","NOT SCHED")))))</f>
        <v>NOT SCHED</v>
      </c>
      <c r="B59" s="268"/>
      <c r="C59" s="271"/>
      <c r="D59" s="251" t="s">
        <v>192</v>
      </c>
      <c r="E59" s="178" t="s">
        <v>0</v>
      </c>
      <c r="F59" s="181" t="s">
        <v>0</v>
      </c>
      <c r="G59" s="174" t="s">
        <v>0</v>
      </c>
      <c r="H59" s="173" t="s">
        <v>0</v>
      </c>
      <c r="I59" s="181" t="s">
        <v>0</v>
      </c>
      <c r="J59" s="174" t="s">
        <v>0</v>
      </c>
      <c r="K59" s="130" t="str">
        <f>$N$7</f>
        <v xml:space="preserve"> </v>
      </c>
      <c r="L59" s="207" t="str">
        <f>IF(E59=" ","Not being used ",AU56*6076.12)</f>
        <v xml:space="preserve">Not being used </v>
      </c>
      <c r="M59" s="206">
        <v>0</v>
      </c>
      <c r="N59" s="152" t="str">
        <f>IF(W56=1,"Need Photo","Has Photo")</f>
        <v>Has Photo</v>
      </c>
      <c r="O59" s="167" t="s">
        <v>258</v>
      </c>
      <c r="P59" s="225" t="str">
        <f>IF(E59=" ","Not being used",(IF(L59&gt;O56,"OFF STA","ON STA")))</f>
        <v>Not being used</v>
      </c>
      <c r="Q59" s="286"/>
      <c r="R59" s="287"/>
      <c r="S59" s="287"/>
      <c r="T59" s="287"/>
      <c r="U59" s="297"/>
      <c r="V59" s="298"/>
      <c r="W59" s="298"/>
      <c r="X59" s="298"/>
      <c r="Y59" s="299"/>
      <c r="Z59" s="334"/>
      <c r="AA59" s="335"/>
      <c r="AB59" s="336"/>
      <c r="AC59" s="118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</row>
    <row r="60" spans="1:47" s="119" customFormat="1" ht="78" customHeight="1" thickTop="1" thickBot="1" x14ac:dyDescent="0.3">
      <c r="A60" s="288" t="s">
        <v>261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17"/>
      <c r="V60" s="159"/>
      <c r="W60" s="159"/>
      <c r="X60" s="159"/>
      <c r="Y60" s="160"/>
      <c r="Z60" s="156"/>
      <c r="AA60" s="157"/>
      <c r="AB60" s="158"/>
      <c r="AC60" s="118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</row>
    <row r="61" spans="1:47" ht="22.5" thickTop="1" thickBot="1" x14ac:dyDescent="0.35">
      <c r="J61" s="188" t="s">
        <v>236</v>
      </c>
      <c r="K61" s="189">
        <f>SUM(U7:U60)</f>
        <v>8</v>
      </c>
      <c r="L61" s="185" t="s">
        <v>238</v>
      </c>
      <c r="M61" s="189">
        <f>SUM(X7:X60)</f>
        <v>7</v>
      </c>
      <c r="N61" s="186" t="s">
        <v>239</v>
      </c>
      <c r="O61" s="189">
        <f>SUM(V7:V60)</f>
        <v>1</v>
      </c>
      <c r="P61" s="221" t="s">
        <v>240</v>
      </c>
      <c r="Q61" s="189">
        <f>SUM(W7:W60)</f>
        <v>0</v>
      </c>
      <c r="R61" s="187" t="s">
        <v>241</v>
      </c>
      <c r="S61" s="189">
        <f>SUM(Y7:Y60)</f>
        <v>0</v>
      </c>
      <c r="T61" s="208"/>
      <c r="U61" s="218"/>
      <c r="V61" s="209"/>
      <c r="W61" s="210"/>
      <c r="X61" s="210"/>
      <c r="Y61" s="211"/>
      <c r="Z61" s="184">
        <f>SUM(Z7:Z60)</f>
        <v>0</v>
      </c>
      <c r="AA61" s="184">
        <f>SUM(AA7:AA60)</f>
        <v>0</v>
      </c>
      <c r="AB61" s="184">
        <f>SUM(AB7:AB60)</f>
        <v>0</v>
      </c>
      <c r="AC61" s="13"/>
    </row>
    <row r="62" spans="1:47" ht="21.75" thickTop="1" x14ac:dyDescent="0.3"/>
  </sheetData>
  <sheetProtection insertRows="0"/>
  <mergeCells count="200">
    <mergeCell ref="E30:J30"/>
    <mergeCell ref="E31:J31"/>
    <mergeCell ref="E37:J37"/>
    <mergeCell ref="E38:J38"/>
    <mergeCell ref="E42:J42"/>
    <mergeCell ref="E47:J47"/>
    <mergeCell ref="E52:J52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E6:J6"/>
    <mergeCell ref="A6:D6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K51:K52"/>
    <mergeCell ref="L51:L52"/>
    <mergeCell ref="Z57:AB59"/>
    <mergeCell ref="M56:M57"/>
    <mergeCell ref="N56:N57"/>
    <mergeCell ref="O56:O57"/>
    <mergeCell ref="P56:P57"/>
    <mergeCell ref="S56:T56"/>
    <mergeCell ref="Q57:T5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39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K56:K57"/>
    <mergeCell ref="L56:L57"/>
    <mergeCell ref="M51:M52"/>
    <mergeCell ref="N51:N52"/>
    <mergeCell ref="O51:O52"/>
    <mergeCell ref="P51:P52"/>
    <mergeCell ref="U55:Y55"/>
    <mergeCell ref="A60:T60"/>
    <mergeCell ref="E10:J10"/>
    <mergeCell ref="E11:J11"/>
    <mergeCell ref="E15:J15"/>
    <mergeCell ref="E20:J20"/>
    <mergeCell ref="E21:J21"/>
    <mergeCell ref="E25:J25"/>
    <mergeCell ref="E26:J26"/>
    <mergeCell ref="A33:K33"/>
    <mergeCell ref="L33:T3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79" t="s">
        <v>6</v>
      </c>
      <c r="B1" s="480"/>
      <c r="C1" s="480"/>
      <c r="D1" s="481"/>
      <c r="E1" s="482" t="s">
        <v>8</v>
      </c>
      <c r="F1" s="483"/>
      <c r="G1" s="483"/>
      <c r="H1" s="483"/>
      <c r="I1" s="483"/>
      <c r="J1" s="484"/>
      <c r="K1" s="40"/>
      <c r="L1" s="40"/>
      <c r="M1" s="40"/>
      <c r="N1" s="40"/>
      <c r="O1" s="40"/>
    </row>
    <row r="2" spans="1:15" x14ac:dyDescent="0.25">
      <c r="A2" s="485" t="s">
        <v>0</v>
      </c>
      <c r="B2" s="486"/>
      <c r="C2" s="486"/>
      <c r="D2" s="487"/>
      <c r="E2" s="488" t="s">
        <v>0</v>
      </c>
      <c r="F2" s="489"/>
      <c r="G2" s="489"/>
      <c r="H2" s="489"/>
      <c r="I2" s="489"/>
      <c r="J2" s="490"/>
      <c r="K2" s="491" t="s">
        <v>0</v>
      </c>
      <c r="L2" s="492"/>
      <c r="M2" s="492"/>
      <c r="N2" s="492"/>
      <c r="O2" s="492"/>
    </row>
    <row r="3" spans="1:15" x14ac:dyDescent="0.25">
      <c r="A3" s="494" t="s">
        <v>7</v>
      </c>
      <c r="B3" s="495"/>
      <c r="C3" s="495"/>
      <c r="D3" s="496"/>
      <c r="E3" s="497" t="s">
        <v>9</v>
      </c>
      <c r="F3" s="498"/>
      <c r="G3" s="498"/>
      <c r="H3" s="498"/>
      <c r="I3" s="498"/>
      <c r="J3" s="499"/>
      <c r="K3" s="493"/>
      <c r="L3" s="492"/>
      <c r="M3" s="492"/>
      <c r="N3" s="492"/>
      <c r="O3" s="492"/>
    </row>
    <row r="4" spans="1:15" thickBot="1" x14ac:dyDescent="0.35">
      <c r="A4" s="465" t="s">
        <v>0</v>
      </c>
      <c r="B4" s="466"/>
      <c r="C4" s="466"/>
      <c r="D4" s="467"/>
      <c r="E4" s="468" t="s">
        <v>0</v>
      </c>
      <c r="F4" s="469"/>
      <c r="G4" s="469"/>
      <c r="H4" s="469"/>
      <c r="I4" s="469"/>
      <c r="J4" s="470"/>
      <c r="K4" s="41"/>
      <c r="L4" s="41"/>
      <c r="M4" s="41"/>
      <c r="N4" s="41"/>
      <c r="O4" s="41"/>
    </row>
    <row r="5" spans="1:15" ht="26.45" thickTop="1" x14ac:dyDescent="0.3">
      <c r="A5" s="471" t="s">
        <v>193</v>
      </c>
      <c r="B5" s="472"/>
      <c r="C5" s="472"/>
      <c r="D5" s="472"/>
      <c r="E5" s="473" t="s">
        <v>0</v>
      </c>
      <c r="F5" s="473"/>
      <c r="G5" s="474" t="s">
        <v>2</v>
      </c>
      <c r="H5" s="475"/>
      <c r="I5" s="476" t="s">
        <v>0</v>
      </c>
      <c r="J5" s="477"/>
      <c r="K5" s="478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59" t="s">
        <v>198</v>
      </c>
      <c r="H6" s="460"/>
      <c r="I6" s="461"/>
      <c r="J6" s="50" t="s">
        <v>0</v>
      </c>
      <c r="K6" s="462" t="s">
        <v>0</v>
      </c>
      <c r="L6" s="463"/>
      <c r="M6" s="463"/>
      <c r="N6" s="463"/>
      <c r="O6" s="464"/>
    </row>
    <row r="7" spans="1:15" ht="15" customHeight="1" thickTop="1" x14ac:dyDescent="0.25">
      <c r="A7" s="51" t="s">
        <v>199</v>
      </c>
      <c r="B7" s="432" t="s">
        <v>215</v>
      </c>
      <c r="C7" s="52" t="s">
        <v>200</v>
      </c>
      <c r="D7" s="434" t="s">
        <v>216</v>
      </c>
      <c r="E7" s="434"/>
      <c r="F7" s="435" t="s">
        <v>0</v>
      </c>
      <c r="G7" s="437" t="s">
        <v>201</v>
      </c>
      <c r="H7" s="437"/>
      <c r="I7" s="53">
        <v>2</v>
      </c>
      <c r="J7" s="449" t="s">
        <v>235</v>
      </c>
      <c r="K7" s="450"/>
      <c r="L7" s="450"/>
      <c r="M7" s="450"/>
      <c r="N7" s="450"/>
      <c r="O7" s="451"/>
    </row>
    <row r="8" spans="1:15" ht="15" customHeight="1" thickBot="1" x14ac:dyDescent="0.3">
      <c r="A8" s="54">
        <v>1135</v>
      </c>
      <c r="B8" s="433"/>
      <c r="C8" s="55" t="s">
        <v>202</v>
      </c>
      <c r="D8" s="56" t="s">
        <v>217</v>
      </c>
      <c r="E8" s="56" t="s">
        <v>220</v>
      </c>
      <c r="F8" s="436"/>
      <c r="G8" s="438" t="s">
        <v>203</v>
      </c>
      <c r="H8" s="438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33"/>
      <c r="C9" s="55" t="s">
        <v>1</v>
      </c>
      <c r="D9" s="64" t="s">
        <v>218</v>
      </c>
      <c r="E9" s="64" t="s">
        <v>219</v>
      </c>
      <c r="F9" s="439" t="s">
        <v>0</v>
      </c>
      <c r="G9" s="438" t="s">
        <v>0</v>
      </c>
      <c r="H9" s="438"/>
      <c r="I9" s="57"/>
      <c r="J9" s="65"/>
      <c r="K9" s="65"/>
      <c r="L9" s="441" t="s">
        <v>0</v>
      </c>
      <c r="M9" s="442"/>
      <c r="N9" s="443"/>
      <c r="O9" s="446" t="s">
        <v>204</v>
      </c>
    </row>
    <row r="10" spans="1:15" ht="16.149999999999999" customHeight="1" thickBot="1" x14ac:dyDescent="0.3">
      <c r="A10" s="66">
        <v>1</v>
      </c>
      <c r="B10" s="433"/>
      <c r="C10" s="67" t="s">
        <v>192</v>
      </c>
      <c r="D10" s="68" t="s">
        <v>0</v>
      </c>
      <c r="E10" s="69" t="s">
        <v>0</v>
      </c>
      <c r="F10" s="440"/>
      <c r="G10" s="448" t="s">
        <v>0</v>
      </c>
      <c r="H10" s="448"/>
      <c r="I10" s="70"/>
      <c r="J10" s="71"/>
      <c r="K10" s="71"/>
      <c r="L10" s="444"/>
      <c r="M10" s="444"/>
      <c r="N10" s="445"/>
      <c r="O10" s="447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26" t="s">
        <v>0</v>
      </c>
      <c r="F11" s="427"/>
      <c r="G11" s="427"/>
      <c r="H11" s="427"/>
      <c r="I11" s="428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29"/>
      <c r="F12" s="430"/>
      <c r="G12" s="430"/>
      <c r="H12" s="430"/>
      <c r="I12" s="431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54" t="s">
        <v>221</v>
      </c>
      <c r="C13" s="52" t="s">
        <v>200</v>
      </c>
      <c r="D13" s="434" t="s">
        <v>216</v>
      </c>
      <c r="E13" s="434"/>
      <c r="F13" s="458"/>
      <c r="G13" s="437" t="s">
        <v>201</v>
      </c>
      <c r="H13" s="437"/>
      <c r="I13" s="86">
        <v>2</v>
      </c>
      <c r="J13" s="449" t="s">
        <v>235</v>
      </c>
      <c r="K13" s="450"/>
      <c r="L13" s="450"/>
      <c r="M13" s="450"/>
      <c r="N13" s="450"/>
      <c r="O13" s="451"/>
    </row>
    <row r="14" spans="1:15" ht="15" customHeight="1" thickBot="1" x14ac:dyDescent="0.3">
      <c r="A14" s="54">
        <v>1136</v>
      </c>
      <c r="B14" s="455"/>
      <c r="C14" s="55" t="s">
        <v>202</v>
      </c>
      <c r="D14" s="56" t="s">
        <v>217</v>
      </c>
      <c r="E14" s="56" t="s">
        <v>225</v>
      </c>
      <c r="F14" s="436"/>
      <c r="G14" s="438" t="s">
        <v>203</v>
      </c>
      <c r="H14" s="438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56"/>
      <c r="C15" s="55" t="s">
        <v>1</v>
      </c>
      <c r="D15" s="64" t="s">
        <v>222</v>
      </c>
      <c r="E15" s="64" t="s">
        <v>223</v>
      </c>
      <c r="F15" s="452"/>
      <c r="G15" s="453" t="s">
        <v>0</v>
      </c>
      <c r="H15" s="453"/>
      <c r="I15" s="87"/>
      <c r="J15" s="89"/>
      <c r="K15" s="65"/>
      <c r="L15" s="441" t="s">
        <v>0</v>
      </c>
      <c r="M15" s="442"/>
      <c r="N15" s="443"/>
      <c r="O15" s="446" t="s">
        <v>204</v>
      </c>
    </row>
    <row r="16" spans="1:15" ht="16.149999999999999" customHeight="1" thickBot="1" x14ac:dyDescent="0.3">
      <c r="A16" s="66">
        <v>2</v>
      </c>
      <c r="B16" s="457"/>
      <c r="C16" s="90" t="s">
        <v>192</v>
      </c>
      <c r="D16" s="91" t="s">
        <v>0</v>
      </c>
      <c r="E16" s="91" t="s">
        <v>0</v>
      </c>
      <c r="F16" s="452"/>
      <c r="G16" s="453" t="s">
        <v>0</v>
      </c>
      <c r="H16" s="453"/>
      <c r="I16" s="87"/>
      <c r="J16" s="92"/>
      <c r="K16" s="71"/>
      <c r="L16" s="444"/>
      <c r="M16" s="444"/>
      <c r="N16" s="445"/>
      <c r="O16" s="447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26" t="s">
        <v>0</v>
      </c>
      <c r="F17" s="427"/>
      <c r="G17" s="427"/>
      <c r="H17" s="427"/>
      <c r="I17" s="428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29"/>
      <c r="F18" s="430"/>
      <c r="G18" s="430"/>
      <c r="H18" s="430"/>
      <c r="I18" s="431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32" t="s">
        <v>226</v>
      </c>
      <c r="C19" s="52" t="s">
        <v>200</v>
      </c>
      <c r="D19" s="434" t="s">
        <v>216</v>
      </c>
      <c r="E19" s="434"/>
      <c r="F19" s="435" t="s">
        <v>0</v>
      </c>
      <c r="G19" s="437" t="s">
        <v>201</v>
      </c>
      <c r="H19" s="437"/>
      <c r="I19" s="53">
        <v>2</v>
      </c>
      <c r="J19" s="449" t="s">
        <v>235</v>
      </c>
      <c r="K19" s="450"/>
      <c r="L19" s="450"/>
      <c r="M19" s="450"/>
      <c r="N19" s="450"/>
      <c r="O19" s="451"/>
    </row>
    <row r="20" spans="1:15" ht="15" customHeight="1" thickBot="1" x14ac:dyDescent="0.3">
      <c r="A20" s="54">
        <v>1137</v>
      </c>
      <c r="B20" s="433"/>
      <c r="C20" s="55" t="s">
        <v>202</v>
      </c>
      <c r="D20" s="56" t="s">
        <v>217</v>
      </c>
      <c r="E20" s="56" t="s">
        <v>225</v>
      </c>
      <c r="F20" s="436"/>
      <c r="G20" s="438" t="s">
        <v>203</v>
      </c>
      <c r="H20" s="438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33"/>
      <c r="C21" s="55" t="s">
        <v>1</v>
      </c>
      <c r="D21" s="64" t="s">
        <v>227</v>
      </c>
      <c r="E21" s="64" t="s">
        <v>228</v>
      </c>
      <c r="F21" s="439" t="s">
        <v>0</v>
      </c>
      <c r="G21" s="438" t="s">
        <v>214</v>
      </c>
      <c r="H21" s="438"/>
      <c r="I21" s="57">
        <v>4</v>
      </c>
      <c r="J21" s="65"/>
      <c r="K21" s="65"/>
      <c r="L21" s="441" t="s">
        <v>0</v>
      </c>
      <c r="M21" s="442"/>
      <c r="N21" s="443"/>
      <c r="O21" s="446" t="s">
        <v>204</v>
      </c>
    </row>
    <row r="22" spans="1:15" ht="16.149999999999999" customHeight="1" thickBot="1" x14ac:dyDescent="0.3">
      <c r="A22" s="66">
        <v>3</v>
      </c>
      <c r="B22" s="433"/>
      <c r="C22" s="67" t="s">
        <v>192</v>
      </c>
      <c r="D22" s="68" t="s">
        <v>0</v>
      </c>
      <c r="E22" s="69" t="s">
        <v>0</v>
      </c>
      <c r="F22" s="440"/>
      <c r="G22" s="448" t="s">
        <v>0</v>
      </c>
      <c r="H22" s="448"/>
      <c r="I22" s="70"/>
      <c r="J22" s="71"/>
      <c r="K22" s="71"/>
      <c r="L22" s="444"/>
      <c r="M22" s="444"/>
      <c r="N22" s="445"/>
      <c r="O22" s="447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26" t="s">
        <v>0</v>
      </c>
      <c r="F23" s="427"/>
      <c r="G23" s="427"/>
      <c r="H23" s="427"/>
      <c r="I23" s="428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29"/>
      <c r="F24" s="430"/>
      <c r="G24" s="430"/>
      <c r="H24" s="430"/>
      <c r="I24" s="431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32" t="s">
        <v>229</v>
      </c>
      <c r="C25" s="52" t="s">
        <v>200</v>
      </c>
      <c r="D25" s="434" t="s">
        <v>216</v>
      </c>
      <c r="E25" s="434"/>
      <c r="F25" s="435" t="s">
        <v>0</v>
      </c>
      <c r="G25" s="438" t="s">
        <v>203</v>
      </c>
      <c r="H25" s="438"/>
      <c r="I25" s="53">
        <v>2</v>
      </c>
      <c r="J25" s="449" t="s">
        <v>235</v>
      </c>
      <c r="K25" s="450"/>
      <c r="L25" s="450"/>
      <c r="M25" s="450"/>
      <c r="N25" s="450"/>
      <c r="O25" s="451"/>
    </row>
    <row r="26" spans="1:15" ht="15" customHeight="1" thickBot="1" x14ac:dyDescent="0.3">
      <c r="A26" s="54">
        <v>1138</v>
      </c>
      <c r="B26" s="433"/>
      <c r="C26" s="55" t="s">
        <v>202</v>
      </c>
      <c r="D26" s="56" t="s">
        <v>230</v>
      </c>
      <c r="E26" s="56" t="s">
        <v>231</v>
      </c>
      <c r="F26" s="436"/>
      <c r="G26" s="438" t="s">
        <v>234</v>
      </c>
      <c r="H26" s="438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33"/>
      <c r="C27" s="55" t="s">
        <v>1</v>
      </c>
      <c r="D27" s="64" t="s">
        <v>232</v>
      </c>
      <c r="E27" s="64" t="s">
        <v>233</v>
      </c>
      <c r="F27" s="439" t="s">
        <v>0</v>
      </c>
      <c r="G27" s="438" t="s">
        <v>214</v>
      </c>
      <c r="H27" s="438"/>
      <c r="I27" s="57">
        <v>4</v>
      </c>
      <c r="J27" s="65"/>
      <c r="K27" s="65"/>
      <c r="L27" s="441" t="s">
        <v>0</v>
      </c>
      <c r="M27" s="442"/>
      <c r="N27" s="443"/>
      <c r="O27" s="446" t="s">
        <v>204</v>
      </c>
    </row>
    <row r="28" spans="1:15" ht="16.149999999999999" customHeight="1" thickBot="1" x14ac:dyDescent="0.3">
      <c r="A28" s="66">
        <v>4</v>
      </c>
      <c r="B28" s="433"/>
      <c r="C28" s="67" t="s">
        <v>192</v>
      </c>
      <c r="D28" s="68" t="s">
        <v>0</v>
      </c>
      <c r="E28" s="69" t="s">
        <v>0</v>
      </c>
      <c r="F28" s="440"/>
      <c r="G28" s="448" t="s">
        <v>0</v>
      </c>
      <c r="H28" s="448"/>
      <c r="I28" s="70"/>
      <c r="J28" s="71"/>
      <c r="K28" s="71"/>
      <c r="L28" s="444"/>
      <c r="M28" s="444"/>
      <c r="N28" s="445"/>
      <c r="O28" s="447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26" t="s">
        <v>0</v>
      </c>
      <c r="F29" s="427"/>
      <c r="G29" s="427"/>
      <c r="H29" s="427"/>
      <c r="I29" s="428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29"/>
      <c r="F30" s="430"/>
      <c r="G30" s="430"/>
      <c r="H30" s="430"/>
      <c r="I30" s="431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2018-04-27T23:42:43Z</dcterms:modified>
</cp:coreProperties>
</file>